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ПУ" sheetId="1" r:id="rId1"/>
  </sheets>
  <definedNames>
    <definedName name="Excel_BuiltIn_Print_Area_1">#REF!</definedName>
    <definedName name="Excel_BuiltIn_Print_Area_2">'ОПУ'!$A$1:$N$107</definedName>
  </definedNames>
  <calcPr fullCalcOnLoad="1"/>
</workbook>
</file>

<file path=xl/sharedStrings.xml><?xml version="1.0" encoding="utf-8"?>
<sst xmlns="http://schemas.openxmlformats.org/spreadsheetml/2006/main" count="103" uniqueCount="92">
  <si>
    <t>Общество с ограниченной ответственностью "Благоустроенный город"</t>
  </si>
  <si>
    <t>Аренда помещения</t>
  </si>
  <si>
    <t>Бухгалтерские услуги</t>
  </si>
  <si>
    <t>Страхование лифтов</t>
  </si>
  <si>
    <t>Оплата труда</t>
  </si>
  <si>
    <t>Страховые взносы от ФОТ</t>
  </si>
  <si>
    <t>Инвентаризация</t>
  </si>
  <si>
    <t>Отчет о прибылях и убытках за 2015 год</t>
  </si>
  <si>
    <t>Статья дохода/расхода</t>
  </si>
  <si>
    <t>Итого за период</t>
  </si>
  <si>
    <t>ДОХОДЫ</t>
  </si>
  <si>
    <t>Собственные услуги итого</t>
  </si>
  <si>
    <t>в т.ч.:</t>
  </si>
  <si>
    <t>коммунальные услуги населению (домофон, лифт, содержание)</t>
  </si>
  <si>
    <t>аренда помещения</t>
  </si>
  <si>
    <t>предоставление комплекса ресурсов</t>
  </si>
  <si>
    <t>предоставление места для размещения рекламы</t>
  </si>
  <si>
    <t>обслуживание домофонов</t>
  </si>
  <si>
    <t xml:space="preserve">размещение оборудования </t>
  </si>
  <si>
    <t>размещение оборудования сотовой связи</t>
  </si>
  <si>
    <t xml:space="preserve">техническое обслуживание/Промывка системы отопления </t>
  </si>
  <si>
    <t xml:space="preserve">Предоставление мусорной камеры для размещения твердых бытовых отходов </t>
  </si>
  <si>
    <t>Коммунальные услуги</t>
  </si>
  <si>
    <t xml:space="preserve">размещение информационных щитов </t>
  </si>
  <si>
    <t>Услуги ресурсоснабжающих организаций итого</t>
  </si>
  <si>
    <t>Услуги ГТС (водоотведение, хол. вода)</t>
  </si>
  <si>
    <t>Услуги ГТС (отопление, горячая вода)</t>
  </si>
  <si>
    <t>Услуги Гранит (лифт)</t>
  </si>
  <si>
    <t>Услуги Атом (электроэнергия)</t>
  </si>
  <si>
    <t>Прочие доходы итого</t>
  </si>
  <si>
    <t>Пени от населения</t>
  </si>
  <si>
    <t>Резерв сомнительных долгов</t>
  </si>
  <si>
    <t xml:space="preserve">Плата за загрязнение
</t>
  </si>
  <si>
    <t xml:space="preserve">Возмещение убытков к получению (уплате)
</t>
  </si>
  <si>
    <t xml:space="preserve">Убытки прошлых лет (материальные расходы)
</t>
  </si>
  <si>
    <t xml:space="preserve">Убытки прошлых лет (ТО и диагностика лифтов)
</t>
  </si>
  <si>
    <t xml:space="preserve">Списание дебиторской (кредиторской) задолженности
</t>
  </si>
  <si>
    <t>Итого доходы</t>
  </si>
  <si>
    <t>РАСХОДЫ</t>
  </si>
  <si>
    <t>Расходы на собственные услуги итого</t>
  </si>
  <si>
    <t>Вознаграждение за услуги ЕИРКЦ 2,4%</t>
  </si>
  <si>
    <t>информационные услуги :Контур-Эксперт</t>
  </si>
  <si>
    <t>Коммунальные расходы офисного помещения</t>
  </si>
  <si>
    <t>Материальные расходы</t>
  </si>
  <si>
    <t>Расходы на АДС</t>
  </si>
  <si>
    <t>Расходы на дезинфекцию, дератизацию</t>
  </si>
  <si>
    <t>Расходы на обучение сотрудников</t>
  </si>
  <si>
    <t>Расходы на услугу  поддержке ПВ</t>
  </si>
  <si>
    <t>Расходы на ремонт квартир жильцов за собств. Счет</t>
  </si>
  <si>
    <t>Расходы на ТО ККМ</t>
  </si>
  <si>
    <t>Расходы на транспортировку и размещение ТБО</t>
  </si>
  <si>
    <t>Расходы на услуги связи - интернет</t>
  </si>
  <si>
    <t>Расходы на услуги связи - стационарная связь</t>
  </si>
  <si>
    <t>Расходы на перезарядку /приборов/</t>
  </si>
  <si>
    <t>Техобслуживание и ремонт лифтов</t>
  </si>
  <si>
    <t>Расходы на ПО,оргтехнику,запчасти</t>
  </si>
  <si>
    <t>Медицинские услуги</t>
  </si>
  <si>
    <t>Расходы на рекламу (нормируемые)</t>
  </si>
  <si>
    <t>Почтовые услуги</t>
  </si>
  <si>
    <t>Расходы на работы по договорам</t>
  </si>
  <si>
    <t>Расходы на услуги ресурсоснабж.орг-ций</t>
  </si>
  <si>
    <t>Услуги Гортеплосети итого:</t>
  </si>
  <si>
    <t>водоотведение</t>
  </si>
  <si>
    <t>водоснабжение</t>
  </si>
  <si>
    <t>Холодная вода ОДН</t>
  </si>
  <si>
    <t>горячее водоснабжение</t>
  </si>
  <si>
    <t>отопление</t>
  </si>
  <si>
    <t>АтомЭнергоСбыт (электроэнергия)</t>
  </si>
  <si>
    <t xml:space="preserve"> </t>
  </si>
  <si>
    <t>Прочие расходы итого</t>
  </si>
  <si>
    <t>Возмещение убытков к уплате</t>
  </si>
  <si>
    <t>Материальная помощь</t>
  </si>
  <si>
    <t>Материальные затраты (питьевая вода)</t>
  </si>
  <si>
    <t>Госпошлина</t>
  </si>
  <si>
    <t>Больничные за счет работодателя</t>
  </si>
  <si>
    <t>Расходы на услуги банков</t>
  </si>
  <si>
    <t>Объявление</t>
  </si>
  <si>
    <t>Плата за загрязнение</t>
  </si>
  <si>
    <t>Штрафы, пени и неустойки к получению (уплате)</t>
  </si>
  <si>
    <t>Представительские расходы</t>
  </si>
  <si>
    <t>Членские взносы в союз предпринимателей</t>
  </si>
  <si>
    <t>Итого расходы</t>
  </si>
  <si>
    <t>Прибыль до налогообложения</t>
  </si>
  <si>
    <t>Единый налог по УСН</t>
  </si>
  <si>
    <t>Чистая прибыль</t>
  </si>
  <si>
    <t>Отношение ФОТ к выручке, %</t>
  </si>
  <si>
    <t>Доля прибыли в выручке, %</t>
  </si>
  <si>
    <t>Счет 99</t>
  </si>
  <si>
    <t>Убытки прошлых лет итого:</t>
  </si>
  <si>
    <t xml:space="preserve">Убытки прошлых лет </t>
  </si>
  <si>
    <t>Доначисление дохода от коммунальных услуг за 2013 год</t>
  </si>
  <si>
    <t>Собственные услуги (повышающий коэффициент)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</si>
</sst>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4" borderId="2" applyNumberFormat="0" applyAlignment="0" applyProtection="0"/>
    <xf numFmtId="0" fontId="14" fillId="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7" fillId="18" borderId="10" xfId="0" applyFont="1" applyFill="1" applyBorder="1" applyAlignment="1">
      <alignment horizontal="center"/>
    </xf>
    <xf numFmtId="164" fontId="5" fillId="18" borderId="10" xfId="0" applyNumberFormat="1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 wrapText="1"/>
    </xf>
    <xf numFmtId="0" fontId="7" fillId="19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4" fontId="6" fillId="18" borderId="10" xfId="0" applyNumberFormat="1" applyFont="1" applyFill="1" applyBorder="1" applyAlignment="1">
      <alignment/>
    </xf>
    <xf numFmtId="0" fontId="6" fillId="19" borderId="0" xfId="0" applyFont="1" applyFill="1" applyAlignment="1">
      <alignment/>
    </xf>
    <xf numFmtId="4" fontId="1" fillId="0" borderId="8" xfId="52" applyNumberFormat="1" applyFont="1" applyBorder="1" applyAlignment="1">
      <alignment horizontal="right" vertical="top" wrapText="1"/>
      <protection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18" borderId="10" xfId="0" applyFont="1" applyFill="1" applyBorder="1" applyAlignment="1">
      <alignment/>
    </xf>
    <xf numFmtId="4" fontId="7" fillId="18" borderId="10" xfId="0" applyNumberFormat="1" applyFont="1" applyFill="1" applyBorder="1" applyAlignment="1">
      <alignment/>
    </xf>
    <xf numFmtId="0" fontId="7" fillId="19" borderId="0" xfId="0" applyFont="1" applyFill="1" applyAlignment="1">
      <alignment/>
    </xf>
    <xf numFmtId="0" fontId="6" fillId="20" borderId="10" xfId="0" applyFont="1" applyFill="1" applyBorder="1" applyAlignment="1">
      <alignment/>
    </xf>
    <xf numFmtId="4" fontId="6" fillId="2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0" xfId="0" applyNumberFormat="1" applyFont="1" applyAlignment="1">
      <alignment/>
    </xf>
    <xf numFmtId="0" fontId="10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П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52.7109375" style="0" customWidth="1"/>
    <col min="2" max="2" width="13.7109375" style="0" customWidth="1"/>
    <col min="3" max="7" width="12.421875" style="0" customWidth="1"/>
    <col min="8" max="8" width="14.28125" style="0" customWidth="1"/>
    <col min="9" max="9" width="14.00390625" style="0" customWidth="1"/>
    <col min="10" max="10" width="12.140625" style="0" customWidth="1"/>
    <col min="11" max="11" width="13.7109375" style="0" customWidth="1"/>
    <col min="12" max="12" width="13.421875" style="0" customWidth="1"/>
    <col min="13" max="13" width="13.00390625" style="0" customWidth="1"/>
    <col min="14" max="14" width="15.421875" style="0" customWidth="1"/>
    <col min="15" max="15" width="13.00390625" style="0" customWidth="1"/>
  </cols>
  <sheetData>
    <row r="1" ht="15">
      <c r="A1" s="1" t="s">
        <v>0</v>
      </c>
    </row>
    <row r="3" ht="15.75">
      <c r="A3" s="2" t="s">
        <v>7</v>
      </c>
    </row>
    <row r="5" spans="1:14" s="9" customFormat="1" ht="30">
      <c r="A5" s="6" t="s">
        <v>8</v>
      </c>
      <c r="B5" s="7">
        <v>42005</v>
      </c>
      <c r="C5" s="7">
        <v>42036</v>
      </c>
      <c r="D5" s="7">
        <v>42064</v>
      </c>
      <c r="E5" s="7">
        <v>42095</v>
      </c>
      <c r="F5" s="7">
        <v>42125</v>
      </c>
      <c r="G5" s="7">
        <v>42156</v>
      </c>
      <c r="H5" s="7">
        <v>42186</v>
      </c>
      <c r="I5" s="7">
        <v>42217</v>
      </c>
      <c r="J5" s="7">
        <v>42248</v>
      </c>
      <c r="K5" s="7">
        <v>41913</v>
      </c>
      <c r="L5" s="7">
        <v>41944</v>
      </c>
      <c r="M5" s="7">
        <v>41974</v>
      </c>
      <c r="N5" s="8" t="s">
        <v>9</v>
      </c>
    </row>
    <row r="6" spans="1:14" s="12" customFormat="1" ht="15">
      <c r="A6" s="10" t="s">
        <v>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4" customFormat="1" ht="15">
      <c r="A7" s="10" t="s">
        <v>11</v>
      </c>
      <c r="B7" s="13">
        <f>SUM(B9:B21)</f>
        <v>2082040.52</v>
      </c>
      <c r="C7" s="13">
        <f>SUM(C9:C21)</f>
        <v>2131643.23</v>
      </c>
      <c r="D7" s="13">
        <f>SUM(D9:D21)</f>
        <v>2111591.0699999994</v>
      </c>
      <c r="E7" s="13">
        <f>SUM(E9:E20)</f>
        <v>2303216.7399999998</v>
      </c>
      <c r="F7" s="13">
        <f>SUM(F9:F20)</f>
        <v>2219523.2599999993</v>
      </c>
      <c r="G7" s="13">
        <f>SUM(G9:G20)</f>
        <v>2229248.4</v>
      </c>
      <c r="H7" s="13">
        <f>SUM(H9:H20)</f>
        <v>2315733.11</v>
      </c>
      <c r="I7" s="13">
        <f>SUM(I9:I21)</f>
        <v>2250203.7199999997</v>
      </c>
      <c r="J7" s="13">
        <f>SUM(J9:J20)</f>
        <v>2289968.55</v>
      </c>
      <c r="K7" s="13">
        <f>SUM(K9:K20)</f>
        <v>2266775.6999999997</v>
      </c>
      <c r="L7" s="13">
        <f>SUM(L9:L20)</f>
        <v>2247171.27</v>
      </c>
      <c r="M7" s="13">
        <f>SUM(M9:M20)</f>
        <v>2300701.1899999995</v>
      </c>
      <c r="N7" s="13">
        <f aca="true" t="shared" si="0" ref="N7:N20">SUM(B7:M7)</f>
        <v>26747816.759999998</v>
      </c>
    </row>
    <row r="8" spans="1:14" s="12" customFormat="1" ht="15">
      <c r="A8" s="15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f t="shared" si="0"/>
        <v>0</v>
      </c>
    </row>
    <row r="9" spans="1:14" s="12" customFormat="1" ht="26.25">
      <c r="A9" s="16" t="s">
        <v>13</v>
      </c>
      <c r="B9" s="17">
        <v>1952430.27</v>
      </c>
      <c r="C9" s="17">
        <v>1953136.08</v>
      </c>
      <c r="D9" s="17">
        <v>1957375.47</v>
      </c>
      <c r="E9" s="17">
        <v>2146945.03</v>
      </c>
      <c r="F9" s="17">
        <v>2053870.39</v>
      </c>
      <c r="G9" s="17">
        <v>2061521.38</v>
      </c>
      <c r="H9" s="17">
        <v>2130597.6</v>
      </c>
      <c r="I9" s="17">
        <v>2080595.54</v>
      </c>
      <c r="J9" s="17">
        <v>2098034.21</v>
      </c>
      <c r="K9" s="17">
        <v>2100842.38</v>
      </c>
      <c r="L9" s="17">
        <v>2098880.93</v>
      </c>
      <c r="M9" s="17">
        <v>2124415.34</v>
      </c>
      <c r="N9" s="17">
        <f t="shared" si="0"/>
        <v>24758644.62</v>
      </c>
    </row>
    <row r="10" spans="1:14" s="12" customFormat="1" ht="15">
      <c r="A10" s="16" t="s">
        <v>91</v>
      </c>
      <c r="B10" s="17"/>
      <c r="C10" s="17"/>
      <c r="D10" s="17"/>
      <c r="E10" s="17"/>
      <c r="F10" s="17"/>
      <c r="G10" s="17">
        <v>5301.35</v>
      </c>
      <c r="H10" s="17">
        <v>11892.2</v>
      </c>
      <c r="I10" s="17">
        <v>12644.6</v>
      </c>
      <c r="J10" s="17">
        <v>12026.72</v>
      </c>
      <c r="K10" s="17">
        <v>9200.54</v>
      </c>
      <c r="L10" s="17">
        <v>5901.06</v>
      </c>
      <c r="M10" s="17">
        <v>18567.85</v>
      </c>
      <c r="N10" s="17">
        <f t="shared" si="0"/>
        <v>75534.32</v>
      </c>
    </row>
    <row r="11" spans="1:14" s="12" customFormat="1" ht="15">
      <c r="A11" s="18" t="s">
        <v>14</v>
      </c>
      <c r="B11" s="17">
        <v>3731.88</v>
      </c>
      <c r="C11" s="17">
        <v>3731.88</v>
      </c>
      <c r="D11" s="17">
        <v>3731.88</v>
      </c>
      <c r="E11" s="17">
        <v>3731.88</v>
      </c>
      <c r="F11" s="17">
        <v>3731.88</v>
      </c>
      <c r="G11" s="17">
        <v>3731.88</v>
      </c>
      <c r="H11" s="17">
        <v>3731.88</v>
      </c>
      <c r="I11" s="17">
        <v>3731.88</v>
      </c>
      <c r="J11" s="17">
        <v>3731.88</v>
      </c>
      <c r="K11" s="17">
        <v>3731.88</v>
      </c>
      <c r="L11" s="17">
        <v>3731.88</v>
      </c>
      <c r="M11" s="17">
        <v>3731.88</v>
      </c>
      <c r="N11" s="17">
        <f t="shared" si="0"/>
        <v>44782.56</v>
      </c>
    </row>
    <row r="12" spans="1:14" s="12" customFormat="1" ht="15">
      <c r="A12" s="18" t="s">
        <v>15</v>
      </c>
      <c r="B12" s="17">
        <v>16000</v>
      </c>
      <c r="C12" s="17">
        <v>16000</v>
      </c>
      <c r="D12" s="17">
        <v>16000</v>
      </c>
      <c r="E12" s="17">
        <v>16000</v>
      </c>
      <c r="F12" s="17">
        <v>16000</v>
      </c>
      <c r="G12" s="17">
        <v>16000</v>
      </c>
      <c r="H12" s="17">
        <v>16000</v>
      </c>
      <c r="I12" s="17">
        <v>16000</v>
      </c>
      <c r="J12" s="17">
        <v>16000</v>
      </c>
      <c r="K12" s="17">
        <v>16000</v>
      </c>
      <c r="L12" s="17">
        <v>16000</v>
      </c>
      <c r="M12" s="17">
        <v>16000</v>
      </c>
      <c r="N12" s="17">
        <f t="shared" si="0"/>
        <v>192000</v>
      </c>
    </row>
    <row r="13" spans="1:14" s="12" customFormat="1" ht="15">
      <c r="A13" s="18" t="s">
        <v>16</v>
      </c>
      <c r="B13" s="17">
        <v>11880</v>
      </c>
      <c r="C13" s="17">
        <v>11880</v>
      </c>
      <c r="D13" s="17">
        <v>11880</v>
      </c>
      <c r="E13" s="17">
        <v>11880</v>
      </c>
      <c r="F13" s="17">
        <v>11880</v>
      </c>
      <c r="G13" s="17">
        <v>11880</v>
      </c>
      <c r="H13" s="17">
        <v>11880</v>
      </c>
      <c r="I13" s="17">
        <v>11880</v>
      </c>
      <c r="J13" s="17">
        <v>11880</v>
      </c>
      <c r="K13" s="17">
        <v>11880</v>
      </c>
      <c r="L13" s="17">
        <v>11880</v>
      </c>
      <c r="M13" s="17">
        <v>11880</v>
      </c>
      <c r="N13" s="17">
        <f t="shared" si="0"/>
        <v>142560</v>
      </c>
    </row>
    <row r="14" spans="1:14" s="12" customFormat="1" ht="15">
      <c r="A14" s="18" t="s">
        <v>17</v>
      </c>
      <c r="B14" s="17">
        <f>2000+29000</f>
        <v>31000</v>
      </c>
      <c r="C14" s="17">
        <f>31800</f>
        <v>31800</v>
      </c>
      <c r="D14" s="17">
        <f>2500+41400</f>
        <v>43900</v>
      </c>
      <c r="E14" s="17">
        <f>2200+43400</f>
        <v>45600</v>
      </c>
      <c r="F14" s="17">
        <f>2100+44800</f>
        <v>46900</v>
      </c>
      <c r="G14" s="17">
        <f>2500+45500</f>
        <v>48000</v>
      </c>
      <c r="H14" s="17">
        <f>2400+41900</f>
        <v>44300</v>
      </c>
      <c r="I14" s="17">
        <f>1800+41200</f>
        <v>43000</v>
      </c>
      <c r="J14" s="17">
        <f>2300+43600</f>
        <v>45900</v>
      </c>
      <c r="K14" s="17">
        <v>38000</v>
      </c>
      <c r="L14" s="17">
        <f>2500+21700</f>
        <v>24200</v>
      </c>
      <c r="M14" s="17">
        <f>1700+29200</f>
        <v>30900</v>
      </c>
      <c r="N14" s="17">
        <f t="shared" si="0"/>
        <v>473500</v>
      </c>
    </row>
    <row r="15" spans="1:14" s="12" customFormat="1" ht="15">
      <c r="A15" s="18" t="s">
        <v>18</v>
      </c>
      <c r="B15" s="17">
        <f>21000+6750+14000</f>
        <v>41750</v>
      </c>
      <c r="C15" s="17">
        <f>21000+6750+24000+24000+14000</f>
        <v>89750</v>
      </c>
      <c r="D15" s="17">
        <f>21000+6750+6000+6000+14000</f>
        <v>53750</v>
      </c>
      <c r="E15" s="17">
        <f>21000+6750+12000+14000</f>
        <v>53750</v>
      </c>
      <c r="F15" s="17">
        <f>21000+6750+12000+14000</f>
        <v>53750</v>
      </c>
      <c r="G15" s="17">
        <f>21000+6750+12000+14000</f>
        <v>53750</v>
      </c>
      <c r="H15" s="17">
        <f>21000+6750+6000+6000+14000</f>
        <v>53750</v>
      </c>
      <c r="I15" s="17">
        <f>21000+6750+7000+7000+14000</f>
        <v>55750</v>
      </c>
      <c r="J15" s="17">
        <f>21000+6750+6500+6500+14000</f>
        <v>54750</v>
      </c>
      <c r="K15" s="17">
        <f>21000+6750+6500+6500+14000</f>
        <v>54750</v>
      </c>
      <c r="L15" s="17">
        <f>21000+6750+6500+6500+14000</f>
        <v>54750</v>
      </c>
      <c r="M15" s="17">
        <f>21000+6750+11500+11500+14000</f>
        <v>64750</v>
      </c>
      <c r="N15" s="17">
        <f t="shared" si="0"/>
        <v>685000</v>
      </c>
    </row>
    <row r="16" spans="1:14" s="12" customFormat="1" ht="15">
      <c r="A16" s="18" t="s">
        <v>19</v>
      </c>
      <c r="B16" s="17">
        <v>16000</v>
      </c>
      <c r="C16" s="17">
        <v>16000</v>
      </c>
      <c r="D16" s="17">
        <v>16000</v>
      </c>
      <c r="E16" s="17">
        <v>16000</v>
      </c>
      <c r="F16" s="17">
        <v>16000</v>
      </c>
      <c r="G16" s="17">
        <v>16000</v>
      </c>
      <c r="H16" s="17">
        <v>16000</v>
      </c>
      <c r="I16" s="17">
        <v>16000</v>
      </c>
      <c r="J16" s="17">
        <v>16000</v>
      </c>
      <c r="K16" s="17">
        <v>16000</v>
      </c>
      <c r="L16" s="17">
        <v>16000</v>
      </c>
      <c r="M16" s="17">
        <v>16000</v>
      </c>
      <c r="N16" s="17">
        <f t="shared" si="0"/>
        <v>192000</v>
      </c>
    </row>
    <row r="17" spans="1:14" s="12" customFormat="1" ht="15">
      <c r="A17" s="18" t="s">
        <v>20</v>
      </c>
      <c r="B17" s="17">
        <f aca="true" t="shared" si="1" ref="B17:G17">3766.9+452.2+775.2+974.2+1145.34</f>
        <v>7113.84</v>
      </c>
      <c r="C17" s="17">
        <f t="shared" si="1"/>
        <v>7113.84</v>
      </c>
      <c r="D17" s="17">
        <f t="shared" si="1"/>
        <v>7113.84</v>
      </c>
      <c r="E17" s="17">
        <f t="shared" si="1"/>
        <v>7113.84</v>
      </c>
      <c r="F17" s="17">
        <f t="shared" si="1"/>
        <v>7113.84</v>
      </c>
      <c r="G17" s="17">
        <f t="shared" si="1"/>
        <v>7113.84</v>
      </c>
      <c r="H17" s="17">
        <f>3766.9+452.2+775.2+974.2+1145.34+12200</f>
        <v>19313.84</v>
      </c>
      <c r="I17" s="17">
        <f>3766.9+452.2+775.2+974.2+1145.34</f>
        <v>7113.84</v>
      </c>
      <c r="J17" s="17">
        <f>16000+3766.9+452.2+775.2+974.2+1145.34</f>
        <v>23113.840000000004</v>
      </c>
      <c r="K17" s="17">
        <f>3766.9+452.2+775.2+974.2+1145.34</f>
        <v>7113.84</v>
      </c>
      <c r="L17" s="17">
        <f>3766.9+452.2+775.2+974.2+1145.34</f>
        <v>7113.84</v>
      </c>
      <c r="M17" s="17">
        <f>3766.9+452.2+775.2+974.2+1145.34</f>
        <v>7113.84</v>
      </c>
      <c r="N17" s="17">
        <f t="shared" si="0"/>
        <v>113566.07999999999</v>
      </c>
    </row>
    <row r="18" spans="1:14" s="12" customFormat="1" ht="26.25">
      <c r="A18" s="16" t="s">
        <v>21</v>
      </c>
      <c r="B18" s="17">
        <v>250</v>
      </c>
      <c r="C18" s="17">
        <v>250</v>
      </c>
      <c r="D18" s="17">
        <v>250</v>
      </c>
      <c r="E18" s="17">
        <v>250</v>
      </c>
      <c r="F18" s="17">
        <v>250</v>
      </c>
      <c r="G18" s="17">
        <v>250</v>
      </c>
      <c r="H18" s="17">
        <v>250</v>
      </c>
      <c r="I18" s="17">
        <v>250</v>
      </c>
      <c r="J18" s="17">
        <v>250</v>
      </c>
      <c r="K18" s="17">
        <v>250</v>
      </c>
      <c r="L18" s="17">
        <v>250</v>
      </c>
      <c r="M18" s="17">
        <v>250</v>
      </c>
      <c r="N18" s="17">
        <f t="shared" si="0"/>
        <v>3000</v>
      </c>
    </row>
    <row r="19" spans="1:14" s="12" customFormat="1" ht="15">
      <c r="A19" s="18" t="s">
        <v>22</v>
      </c>
      <c r="B19" s="17">
        <v>1884.53</v>
      </c>
      <c r="C19" s="17">
        <v>1981.43</v>
      </c>
      <c r="D19" s="17">
        <v>1589.88</v>
      </c>
      <c r="E19" s="17">
        <v>1945.99</v>
      </c>
      <c r="F19" s="17">
        <v>2001.03</v>
      </c>
      <c r="G19" s="17">
        <v>1686.89</v>
      </c>
      <c r="H19" s="17">
        <v>1904.53</v>
      </c>
      <c r="I19" s="17">
        <v>2187.86</v>
      </c>
      <c r="J19" s="17">
        <v>1531.9</v>
      </c>
      <c r="K19" s="17">
        <v>2257.06</v>
      </c>
      <c r="L19" s="17">
        <v>1713.56</v>
      </c>
      <c r="M19" s="17">
        <v>342.28</v>
      </c>
      <c r="N19" s="17">
        <f t="shared" si="0"/>
        <v>21026.940000000002</v>
      </c>
    </row>
    <row r="20" spans="1:14" s="12" customFormat="1" ht="15">
      <c r="A20" s="18" t="s">
        <v>23</v>
      </c>
      <c r="B20" s="17"/>
      <c r="C20" s="17"/>
      <c r="D20" s="17"/>
      <c r="E20" s="17"/>
      <c r="F20" s="17">
        <v>8026.12</v>
      </c>
      <c r="G20" s="17">
        <v>4013.06</v>
      </c>
      <c r="H20" s="17">
        <f>2100+4013.06</f>
        <v>6113.0599999999995</v>
      </c>
      <c r="I20" s="17">
        <v>1050</v>
      </c>
      <c r="J20" s="17">
        <v>6750</v>
      </c>
      <c r="K20" s="17">
        <v>6750</v>
      </c>
      <c r="L20" s="17">
        <v>6750</v>
      </c>
      <c r="M20" s="17">
        <v>6750</v>
      </c>
      <c r="N20" s="17">
        <f t="shared" si="0"/>
        <v>46202.24</v>
      </c>
    </row>
    <row r="21" spans="1:14" s="12" customFormat="1" ht="1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4" customFormat="1" ht="15">
      <c r="A22" s="10" t="s">
        <v>24</v>
      </c>
      <c r="B22" s="13">
        <f aca="true" t="shared" si="2" ref="B22:M22">SUM(B24:B27)</f>
        <v>7103677.72</v>
      </c>
      <c r="C22" s="13">
        <f t="shared" si="2"/>
        <v>6652027.350000001</v>
      </c>
      <c r="D22" s="13">
        <f t="shared" si="2"/>
        <v>6501874.68</v>
      </c>
      <c r="E22" s="13">
        <f t="shared" si="2"/>
        <v>6648993.1899999995</v>
      </c>
      <c r="F22" s="13">
        <f t="shared" si="2"/>
        <v>3983792.9299999997</v>
      </c>
      <c r="G22" s="13">
        <f t="shared" si="2"/>
        <v>3850515.1599999997</v>
      </c>
      <c r="H22" s="13">
        <f t="shared" si="2"/>
        <v>4134442.6099999994</v>
      </c>
      <c r="I22" s="13">
        <f t="shared" si="2"/>
        <v>4413747.12</v>
      </c>
      <c r="J22" s="13">
        <f t="shared" si="2"/>
        <v>4366086.44</v>
      </c>
      <c r="K22" s="13">
        <f t="shared" si="2"/>
        <v>7250803.03</v>
      </c>
      <c r="L22" s="13">
        <f t="shared" si="2"/>
        <v>7147316.24</v>
      </c>
      <c r="M22" s="13">
        <f t="shared" si="2"/>
        <v>7120142.620000001</v>
      </c>
      <c r="N22" s="13">
        <f aca="true" t="shared" si="3" ref="N22:N38">SUM(B22:M22)</f>
        <v>69173419.08999999</v>
      </c>
    </row>
    <row r="23" spans="1:14" s="12" customFormat="1" ht="15">
      <c r="A23" s="15" t="s">
        <v>12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3"/>
        <v>0</v>
      </c>
    </row>
    <row r="24" spans="1:14" s="12" customFormat="1" ht="15">
      <c r="A24" s="18" t="s">
        <v>25</v>
      </c>
      <c r="B24" s="17">
        <v>1268715.02</v>
      </c>
      <c r="C24" s="17">
        <v>1188050.31</v>
      </c>
      <c r="D24" s="17">
        <v>1175122.63</v>
      </c>
      <c r="E24" s="17">
        <v>1195579.05</v>
      </c>
      <c r="F24" s="17">
        <v>1197698.7</v>
      </c>
      <c r="G24" s="17">
        <v>1184302.69</v>
      </c>
      <c r="H24" s="17">
        <v>1279370.2</v>
      </c>
      <c r="I24" s="17">
        <v>1308485.21</v>
      </c>
      <c r="J24" s="17">
        <v>1311268.56</v>
      </c>
      <c r="K24" s="17">
        <v>1275050.55</v>
      </c>
      <c r="L24" s="11">
        <v>1297760.55</v>
      </c>
      <c r="M24" s="17">
        <v>1254479.24</v>
      </c>
      <c r="N24" s="17">
        <f t="shared" si="3"/>
        <v>14935882.71</v>
      </c>
    </row>
    <row r="25" spans="1:14" s="12" customFormat="1" ht="15">
      <c r="A25" s="18" t="s">
        <v>26</v>
      </c>
      <c r="B25" s="17">
        <v>3541992.73</v>
      </c>
      <c r="C25" s="17">
        <v>3489010.9</v>
      </c>
      <c r="D25" s="17">
        <v>3470661.98</v>
      </c>
      <c r="E25" s="17">
        <v>3535767.04</v>
      </c>
      <c r="F25" s="17">
        <v>915162.34</v>
      </c>
      <c r="G25" s="17">
        <v>951719.99</v>
      </c>
      <c r="H25" s="17">
        <v>1006254.08</v>
      </c>
      <c r="I25" s="17">
        <v>1017693.18</v>
      </c>
      <c r="J25" s="17">
        <v>1036741.97</v>
      </c>
      <c r="K25" s="17">
        <v>3708174.2</v>
      </c>
      <c r="L25" s="11">
        <v>3736313.77</v>
      </c>
      <c r="M25" s="17">
        <v>3690908.29</v>
      </c>
      <c r="N25" s="17">
        <f t="shared" si="3"/>
        <v>30100400.469999995</v>
      </c>
    </row>
    <row r="26" spans="1:14" s="12" customFormat="1" ht="15">
      <c r="A26" s="18" t="s">
        <v>27</v>
      </c>
      <c r="B26" s="17">
        <v>428270.06</v>
      </c>
      <c r="C26" s="17">
        <v>428550.82</v>
      </c>
      <c r="D26" s="17">
        <v>428655.07</v>
      </c>
      <c r="E26" s="17">
        <v>428380.83</v>
      </c>
      <c r="F26" s="17">
        <v>427492.55</v>
      </c>
      <c r="G26" s="17">
        <v>428223</v>
      </c>
      <c r="H26" s="17">
        <v>428417.69</v>
      </c>
      <c r="I26" s="17">
        <v>428254.32</v>
      </c>
      <c r="J26" s="17">
        <v>428389.48</v>
      </c>
      <c r="K26" s="17">
        <v>428298.91</v>
      </c>
      <c r="L26" s="11">
        <v>430189.12</v>
      </c>
      <c r="M26" s="17">
        <v>428311.32</v>
      </c>
      <c r="N26" s="17">
        <f t="shared" si="3"/>
        <v>5141433.17</v>
      </c>
    </row>
    <row r="27" spans="1:14" s="12" customFormat="1" ht="15">
      <c r="A27" s="18" t="s">
        <v>28</v>
      </c>
      <c r="B27" s="17">
        <v>1864699.91</v>
      </c>
      <c r="C27" s="17">
        <v>1546415.32</v>
      </c>
      <c r="D27" s="17">
        <v>1427435</v>
      </c>
      <c r="E27" s="17">
        <v>1489266.27</v>
      </c>
      <c r="F27" s="17">
        <v>1443439.34</v>
      </c>
      <c r="G27" s="17">
        <v>1286269.48</v>
      </c>
      <c r="H27" s="17">
        <v>1420400.64</v>
      </c>
      <c r="I27" s="17">
        <v>1659314.41</v>
      </c>
      <c r="J27" s="17">
        <v>1589686.43</v>
      </c>
      <c r="K27" s="17">
        <v>1839279.37</v>
      </c>
      <c r="L27" s="17">
        <v>1683052.8</v>
      </c>
      <c r="M27" s="17">
        <v>1746443.77</v>
      </c>
      <c r="N27" s="17">
        <f t="shared" si="3"/>
        <v>18995702.740000002</v>
      </c>
    </row>
    <row r="28" spans="1:14" s="12" customFormat="1" ht="15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3"/>
        <v>0</v>
      </c>
    </row>
    <row r="29" spans="1:14" s="14" customFormat="1" ht="15">
      <c r="A29" s="10" t="s">
        <v>29</v>
      </c>
      <c r="B29" s="13">
        <f aca="true" t="shared" si="4" ref="B29:M29">SUM(B31:B37)</f>
        <v>324070</v>
      </c>
      <c r="C29" s="13">
        <f t="shared" si="4"/>
        <v>181631.1</v>
      </c>
      <c r="D29" s="13">
        <f t="shared" si="4"/>
        <v>158736.32</v>
      </c>
      <c r="E29" s="13">
        <f t="shared" si="4"/>
        <v>152710.9</v>
      </c>
      <c r="F29" s="13">
        <f t="shared" si="4"/>
        <v>134658.7</v>
      </c>
      <c r="G29" s="13">
        <f t="shared" si="4"/>
        <v>103529.62</v>
      </c>
      <c r="H29" s="13">
        <f t="shared" si="4"/>
        <v>255584.84</v>
      </c>
      <c r="I29" s="13">
        <f t="shared" si="4"/>
        <v>177370.55</v>
      </c>
      <c r="J29" s="13">
        <f t="shared" si="4"/>
        <v>275970.73000000004</v>
      </c>
      <c r="K29" s="13">
        <f t="shared" si="4"/>
        <v>438872.49</v>
      </c>
      <c r="L29" s="13">
        <f t="shared" si="4"/>
        <v>185844.08000000002</v>
      </c>
      <c r="M29" s="13">
        <f t="shared" si="4"/>
        <v>235751.57</v>
      </c>
      <c r="N29" s="13">
        <f t="shared" si="3"/>
        <v>2624730.9</v>
      </c>
    </row>
    <row r="30" spans="1:14" s="12" customFormat="1" ht="15">
      <c r="A30" s="15" t="s">
        <v>12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3"/>
        <v>0</v>
      </c>
    </row>
    <row r="31" spans="1:14" s="12" customFormat="1" ht="15">
      <c r="A31" s="18" t="s">
        <v>30</v>
      </c>
      <c r="B31" s="17">
        <v>7694.39</v>
      </c>
      <c r="C31" s="17">
        <v>8358.21</v>
      </c>
      <c r="D31" s="17">
        <v>11311.43</v>
      </c>
      <c r="E31" s="17">
        <v>9963</v>
      </c>
      <c r="F31" s="17">
        <v>10467.03</v>
      </c>
      <c r="G31" s="17">
        <v>11865.89</v>
      </c>
      <c r="H31" s="17">
        <v>9713.75</v>
      </c>
      <c r="I31" s="17">
        <v>8547.06</v>
      </c>
      <c r="J31" s="17">
        <v>10301.03</v>
      </c>
      <c r="K31" s="17">
        <v>10868.05</v>
      </c>
      <c r="L31" s="17">
        <v>7208.63</v>
      </c>
      <c r="M31" s="17">
        <v>14405.61</v>
      </c>
      <c r="N31" s="17">
        <f t="shared" si="3"/>
        <v>120704.08</v>
      </c>
    </row>
    <row r="32" spans="1:14" s="12" customFormat="1" ht="15">
      <c r="A32" s="18" t="s">
        <v>31</v>
      </c>
      <c r="B32" s="17">
        <v>290511.85</v>
      </c>
      <c r="C32" s="17">
        <v>173272.89</v>
      </c>
      <c r="D32" s="17">
        <v>147424.89</v>
      </c>
      <c r="E32" s="17">
        <v>142747.9</v>
      </c>
      <c r="F32" s="17">
        <v>124191.67</v>
      </c>
      <c r="G32" s="17">
        <v>91663.73</v>
      </c>
      <c r="H32" s="17">
        <v>245871.09</v>
      </c>
      <c r="I32" s="17">
        <v>168823.49</v>
      </c>
      <c r="J32" s="17">
        <v>265669.7</v>
      </c>
      <c r="K32" s="17">
        <v>428004.44</v>
      </c>
      <c r="L32" s="17">
        <v>178635.45</v>
      </c>
      <c r="M32" s="17">
        <v>221345.96</v>
      </c>
      <c r="N32" s="17">
        <f t="shared" si="3"/>
        <v>2478163.06</v>
      </c>
    </row>
    <row r="33" spans="1:14" s="12" customFormat="1" ht="26.25">
      <c r="A33" s="16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>
        <f t="shared" si="3"/>
        <v>0</v>
      </c>
    </row>
    <row r="34" spans="1:14" s="12" customFormat="1" ht="26.25">
      <c r="A34" s="16" t="s">
        <v>33</v>
      </c>
      <c r="B34" s="17">
        <v>25863.76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>
        <f t="shared" si="3"/>
        <v>25863.76</v>
      </c>
    </row>
    <row r="35" spans="1:14" s="12" customFormat="1" ht="26.25">
      <c r="A35" s="16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f t="shared" si="3"/>
        <v>0</v>
      </c>
    </row>
    <row r="36" spans="1:14" s="12" customFormat="1" ht="26.25">
      <c r="A36" s="16" t="s">
        <v>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f t="shared" si="3"/>
        <v>0</v>
      </c>
    </row>
    <row r="37" spans="1:14" s="12" customFormat="1" ht="26.25">
      <c r="A37" s="16" t="s">
        <v>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>
        <f t="shared" si="3"/>
        <v>0</v>
      </c>
    </row>
    <row r="38" spans="1:14" s="21" customFormat="1" ht="15">
      <c r="A38" s="19" t="s">
        <v>37</v>
      </c>
      <c r="B38" s="20">
        <f aca="true" t="shared" si="5" ref="B38:M38">B7+B22+B29</f>
        <v>9509788.24</v>
      </c>
      <c r="C38" s="20">
        <f t="shared" si="5"/>
        <v>8965301.68</v>
      </c>
      <c r="D38" s="20">
        <f t="shared" si="5"/>
        <v>8772202.07</v>
      </c>
      <c r="E38" s="20">
        <f t="shared" si="5"/>
        <v>9104920.83</v>
      </c>
      <c r="F38" s="20">
        <f t="shared" si="5"/>
        <v>6337974.89</v>
      </c>
      <c r="G38" s="20">
        <f t="shared" si="5"/>
        <v>6183293.18</v>
      </c>
      <c r="H38" s="20">
        <f t="shared" si="5"/>
        <v>6705760.559999999</v>
      </c>
      <c r="I38" s="20">
        <f t="shared" si="5"/>
        <v>6841321.39</v>
      </c>
      <c r="J38" s="20">
        <f t="shared" si="5"/>
        <v>6932025.720000001</v>
      </c>
      <c r="K38" s="20">
        <f t="shared" si="5"/>
        <v>9956451.22</v>
      </c>
      <c r="L38" s="20">
        <f t="shared" si="5"/>
        <v>9580331.59</v>
      </c>
      <c r="M38" s="20">
        <f t="shared" si="5"/>
        <v>9656595.38</v>
      </c>
      <c r="N38" s="20">
        <f t="shared" si="3"/>
        <v>98545966.75</v>
      </c>
    </row>
    <row r="39" spans="1:14" s="12" customFormat="1" ht="15" hidden="1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12" customFormat="1" ht="15">
      <c r="A40" s="10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s="14" customFormat="1" ht="15">
      <c r="A41" s="19" t="s">
        <v>39</v>
      </c>
      <c r="B41" s="20">
        <f aca="true" t="shared" si="6" ref="B41:M41">SUM(B43:B67)</f>
        <v>1997659.97</v>
      </c>
      <c r="C41" s="20">
        <f t="shared" si="6"/>
        <v>1899688.4500000002</v>
      </c>
      <c r="D41" s="20">
        <f t="shared" si="6"/>
        <v>2160533.6599999997</v>
      </c>
      <c r="E41" s="20">
        <f t="shared" si="6"/>
        <v>2057280.4300000004</v>
      </c>
      <c r="F41" s="20">
        <f t="shared" si="6"/>
        <v>2213198.63</v>
      </c>
      <c r="G41" s="20">
        <f t="shared" si="6"/>
        <v>2401324.48</v>
      </c>
      <c r="H41" s="20">
        <f t="shared" si="6"/>
        <v>1847481.5</v>
      </c>
      <c r="I41" s="20">
        <f t="shared" si="6"/>
        <v>2231966.1200000006</v>
      </c>
      <c r="J41" s="20">
        <f t="shared" si="6"/>
        <v>1965134.0999999999</v>
      </c>
      <c r="K41" s="20">
        <f t="shared" si="6"/>
        <v>2336655.98</v>
      </c>
      <c r="L41" s="20">
        <f t="shared" si="6"/>
        <v>2378863.7499999995</v>
      </c>
      <c r="M41" s="20">
        <f t="shared" si="6"/>
        <v>2059983.72</v>
      </c>
      <c r="N41" s="20">
        <f aca="true" t="shared" si="7" ref="N41:N67">SUM(B41:M41)</f>
        <v>25549770.790000003</v>
      </c>
    </row>
    <row r="42" spans="1:14" s="12" customFormat="1" ht="15">
      <c r="A42" s="15" t="s">
        <v>12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7"/>
        <v>0</v>
      </c>
    </row>
    <row r="43" spans="1:14" s="12" customFormat="1" ht="15">
      <c r="A43" s="15" t="s">
        <v>40</v>
      </c>
      <c r="B43" s="11">
        <v>179795.36</v>
      </c>
      <c r="C43" s="11">
        <v>207266.01</v>
      </c>
      <c r="D43" s="11">
        <v>207481.47</v>
      </c>
      <c r="E43" s="11">
        <v>196554.81</v>
      </c>
      <c r="F43" s="11">
        <v>198282.9</v>
      </c>
      <c r="G43" s="11">
        <v>153575.76</v>
      </c>
      <c r="H43" s="11">
        <v>147054.09</v>
      </c>
      <c r="I43" s="11">
        <v>145536.89</v>
      </c>
      <c r="J43" s="11">
        <v>157982.19</v>
      </c>
      <c r="K43" s="11">
        <v>161683.49</v>
      </c>
      <c r="L43" s="11">
        <v>217161.66</v>
      </c>
      <c r="M43" s="11">
        <v>224005.98</v>
      </c>
      <c r="N43" s="11">
        <f t="shared" si="7"/>
        <v>2196380.61</v>
      </c>
    </row>
    <row r="44" spans="1:14" s="12" customFormat="1" ht="15">
      <c r="A44" s="15" t="s">
        <v>4</v>
      </c>
      <c r="B44" s="11">
        <v>951499.14</v>
      </c>
      <c r="C44" s="11">
        <v>982521.12</v>
      </c>
      <c r="D44" s="11">
        <v>1149421.27</v>
      </c>
      <c r="E44" s="11">
        <v>1003269.43</v>
      </c>
      <c r="F44" s="11">
        <v>1074444.35</v>
      </c>
      <c r="G44" s="11">
        <v>1143101.26</v>
      </c>
      <c r="H44" s="11">
        <v>1001935.98</v>
      </c>
      <c r="I44" s="11">
        <v>1057246.23</v>
      </c>
      <c r="J44" s="11">
        <v>1021799.22</v>
      </c>
      <c r="K44" s="11">
        <v>1035512.6</v>
      </c>
      <c r="L44" s="11">
        <v>1001460.72</v>
      </c>
      <c r="M44" s="11">
        <v>1086465.94</v>
      </c>
      <c r="N44" s="11">
        <f t="shared" si="7"/>
        <v>12508677.260000002</v>
      </c>
    </row>
    <row r="45" spans="1:14" s="12" customFormat="1" ht="15">
      <c r="A45" s="15" t="s">
        <v>5</v>
      </c>
      <c r="B45" s="11">
        <f>189949.03+1856.85+819</f>
        <v>192624.88</v>
      </c>
      <c r="C45" s="11">
        <f>196027.43+1917.63+1019.52</f>
        <v>198964.58</v>
      </c>
      <c r="D45" s="11">
        <f>229256.23+2070.09+1165.32</f>
        <v>232491.64</v>
      </c>
      <c r="E45" s="11">
        <f>200042.71+1869.54+1135.33</f>
        <v>203047.58</v>
      </c>
      <c r="F45" s="11">
        <f>215584.02+2056.18+1135.32</f>
        <v>218775.52</v>
      </c>
      <c r="G45" s="11">
        <f>228101.48+2014.24+1982.52</f>
        <v>232098.24</v>
      </c>
      <c r="H45" s="11">
        <f>199871.21+1907.55+985.19</f>
        <v>202763.94999999998</v>
      </c>
      <c r="I45" s="11">
        <f>210941.65+1908.56+1905.37</f>
        <v>214755.58</v>
      </c>
      <c r="J45" s="11">
        <f>203715.09+1922.17+2409.55</f>
        <v>208046.81</v>
      </c>
      <c r="K45" s="11">
        <f>206564.08+1947.22+2345.85</f>
        <v>210857.15</v>
      </c>
      <c r="L45" s="11">
        <f>199759.38+1954.8+2281.93</f>
        <v>203996.11</v>
      </c>
      <c r="M45" s="11">
        <f>212785.36+1982.27+2270.66</f>
        <v>217038.28999999998</v>
      </c>
      <c r="N45" s="11">
        <f t="shared" si="7"/>
        <v>2535460.33</v>
      </c>
    </row>
    <row r="46" spans="1:14" s="12" customFormat="1" ht="15">
      <c r="A46" s="15" t="s">
        <v>1</v>
      </c>
      <c r="B46" s="11">
        <v>29565</v>
      </c>
      <c r="C46" s="11">
        <v>29565</v>
      </c>
      <c r="D46" s="11">
        <v>29565</v>
      </c>
      <c r="E46" s="11">
        <v>31565</v>
      </c>
      <c r="F46" s="11">
        <v>31565</v>
      </c>
      <c r="G46" s="11">
        <v>31565</v>
      </c>
      <c r="H46" s="11">
        <v>31565</v>
      </c>
      <c r="I46" s="11">
        <v>31565</v>
      </c>
      <c r="J46" s="11">
        <v>31565</v>
      </c>
      <c r="K46" s="11">
        <v>19565</v>
      </c>
      <c r="L46" s="11">
        <v>43565</v>
      </c>
      <c r="M46" s="11">
        <v>31565</v>
      </c>
      <c r="N46" s="11">
        <f t="shared" si="7"/>
        <v>372780</v>
      </c>
    </row>
    <row r="47" spans="1:14" s="12" customFormat="1" ht="15">
      <c r="A47" s="15" t="s">
        <v>2</v>
      </c>
      <c r="B47" s="11">
        <v>15000</v>
      </c>
      <c r="C47" s="11">
        <v>15000</v>
      </c>
      <c r="D47" s="11">
        <v>15000</v>
      </c>
      <c r="E47" s="11">
        <v>15000</v>
      </c>
      <c r="F47" s="11">
        <v>15000</v>
      </c>
      <c r="G47" s="11">
        <v>15000</v>
      </c>
      <c r="H47" s="11">
        <v>15000</v>
      </c>
      <c r="I47" s="11">
        <v>15000</v>
      </c>
      <c r="J47" s="11">
        <v>15000</v>
      </c>
      <c r="K47" s="11">
        <v>15000</v>
      </c>
      <c r="L47" s="11">
        <v>15000</v>
      </c>
      <c r="M47" s="11">
        <v>15000</v>
      </c>
      <c r="N47" s="11">
        <f t="shared" si="7"/>
        <v>180000</v>
      </c>
    </row>
    <row r="48" spans="1:14" s="12" customFormat="1" ht="15">
      <c r="A48" s="15" t="s">
        <v>41</v>
      </c>
      <c r="B48" s="11"/>
      <c r="C48" s="11"/>
      <c r="D48" s="11"/>
      <c r="E48" s="11"/>
      <c r="F48" s="11">
        <v>299</v>
      </c>
      <c r="G48" s="11">
        <v>1798.5</v>
      </c>
      <c r="H48" s="11"/>
      <c r="I48" s="11"/>
      <c r="J48" s="11"/>
      <c r="K48" s="11"/>
      <c r="L48" s="11"/>
      <c r="M48" s="11">
        <v>6127.5</v>
      </c>
      <c r="N48" s="11">
        <f t="shared" si="7"/>
        <v>8225</v>
      </c>
    </row>
    <row r="49" spans="1:14" s="12" customFormat="1" ht="15">
      <c r="A49" s="15" t="s">
        <v>42</v>
      </c>
      <c r="B49" s="11">
        <v>4294.07</v>
      </c>
      <c r="C49" s="11">
        <v>4371.02</v>
      </c>
      <c r="D49" s="11">
        <v>3872.43</v>
      </c>
      <c r="E49" s="11">
        <v>3503.35</v>
      </c>
      <c r="F49" s="11">
        <v>3658.23</v>
      </c>
      <c r="G49" s="11">
        <v>3356.1</v>
      </c>
      <c r="H49" s="11">
        <v>3725.76</v>
      </c>
      <c r="I49" s="11">
        <v>4378.93</v>
      </c>
      <c r="J49" s="11">
        <v>3849.5</v>
      </c>
      <c r="K49" s="11">
        <v>2340.31</v>
      </c>
      <c r="L49" s="11">
        <v>5701.08</v>
      </c>
      <c r="M49" s="11">
        <v>4689.15</v>
      </c>
      <c r="N49" s="11">
        <f t="shared" si="7"/>
        <v>47739.93</v>
      </c>
    </row>
    <row r="50" spans="1:14" s="12" customFormat="1" ht="15">
      <c r="A50" s="15" t="s">
        <v>43</v>
      </c>
      <c r="B50" s="11">
        <f>60+285298.95</f>
        <v>285358.95</v>
      </c>
      <c r="C50" s="11">
        <v>112018.07</v>
      </c>
      <c r="D50" s="11">
        <v>157208.14</v>
      </c>
      <c r="E50" s="11">
        <f>60+225338.03</f>
        <v>225398.03</v>
      </c>
      <c r="F50" s="11">
        <f>1120+274849.01+60</f>
        <v>276029.01</v>
      </c>
      <c r="G50" s="11">
        <v>344251.27</v>
      </c>
      <c r="H50" s="11">
        <v>106812.26</v>
      </c>
      <c r="I50" s="11">
        <f>870+132450.59</f>
        <v>133320.59</v>
      </c>
      <c r="J50" s="11">
        <f>600+275715.35</f>
        <v>276315.35</v>
      </c>
      <c r="K50" s="11">
        <v>292742.76</v>
      </c>
      <c r="L50" s="11">
        <f>6870+436581.93</f>
        <v>443451.93</v>
      </c>
      <c r="M50" s="11">
        <f>500+150387.96</f>
        <v>150887.96</v>
      </c>
      <c r="N50" s="11">
        <f t="shared" si="7"/>
        <v>2803794.3200000008</v>
      </c>
    </row>
    <row r="51" spans="1:14" s="12" customFormat="1" ht="15">
      <c r="A51" s="15" t="s">
        <v>44</v>
      </c>
      <c r="B51" s="11">
        <v>77274.02</v>
      </c>
      <c r="C51" s="11">
        <v>77274.02</v>
      </c>
      <c r="D51" s="11">
        <v>77274.02</v>
      </c>
      <c r="E51" s="11">
        <v>77274.02</v>
      </c>
      <c r="F51" s="11">
        <v>77274.02</v>
      </c>
      <c r="G51" s="11">
        <v>77274.02</v>
      </c>
      <c r="H51" s="11">
        <v>77274.06</v>
      </c>
      <c r="I51" s="11">
        <v>77274.06</v>
      </c>
      <c r="J51" s="11">
        <v>77274.06</v>
      </c>
      <c r="K51" s="11">
        <v>77274.06</v>
      </c>
      <c r="L51" s="11">
        <v>77274.06</v>
      </c>
      <c r="M51" s="11">
        <v>77274.06</v>
      </c>
      <c r="N51" s="11">
        <f t="shared" si="7"/>
        <v>927288.4800000002</v>
      </c>
    </row>
    <row r="52" spans="1:14" s="12" customFormat="1" ht="15">
      <c r="A52" s="15" t="s">
        <v>45</v>
      </c>
      <c r="B52" s="11"/>
      <c r="C52" s="11"/>
      <c r="D52" s="11"/>
      <c r="E52" s="11">
        <v>35074.09</v>
      </c>
      <c r="F52" s="22">
        <v>6782.21</v>
      </c>
      <c r="G52" s="11">
        <v>38644.47</v>
      </c>
      <c r="H52" s="11">
        <v>76705.7</v>
      </c>
      <c r="I52" s="11">
        <v>28235.47</v>
      </c>
      <c r="J52" s="11">
        <v>9326.26</v>
      </c>
      <c r="K52" s="11">
        <v>28291.87</v>
      </c>
      <c r="L52" s="11"/>
      <c r="M52" s="11">
        <v>735.57</v>
      </c>
      <c r="N52" s="11">
        <f t="shared" si="7"/>
        <v>223795.63999999998</v>
      </c>
    </row>
    <row r="53" spans="1:14" s="12" customFormat="1" ht="15">
      <c r="A53" s="15" t="s">
        <v>46</v>
      </c>
      <c r="B53" s="11"/>
      <c r="C53" s="11">
        <v>31132</v>
      </c>
      <c r="D53" s="11">
        <v>6623</v>
      </c>
      <c r="E53" s="11">
        <v>8824</v>
      </c>
      <c r="F53" s="11">
        <v>3360</v>
      </c>
      <c r="G53" s="11">
        <v>31346.2</v>
      </c>
      <c r="H53" s="11">
        <v>2000</v>
      </c>
      <c r="I53" s="11"/>
      <c r="J53" s="11"/>
      <c r="K53" s="11">
        <v>3800</v>
      </c>
      <c r="L53" s="11">
        <v>1734</v>
      </c>
      <c r="M53" s="11"/>
      <c r="N53" s="11">
        <f t="shared" si="7"/>
        <v>88819.2</v>
      </c>
    </row>
    <row r="54" spans="1:14" s="12" customFormat="1" ht="15">
      <c r="A54" s="15" t="s">
        <v>47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f t="shared" si="7"/>
        <v>0</v>
      </c>
    </row>
    <row r="55" spans="1:14" s="12" customFormat="1" ht="15">
      <c r="A55" s="15" t="s">
        <v>48</v>
      </c>
      <c r="B55" s="11"/>
      <c r="C55" s="11"/>
      <c r="D55" s="11"/>
      <c r="E55" s="11"/>
      <c r="F55" s="11"/>
      <c r="G55" s="11">
        <v>13393</v>
      </c>
      <c r="H55" s="11"/>
      <c r="I55" s="11">
        <v>7474</v>
      </c>
      <c r="J55" s="11"/>
      <c r="K55" s="11">
        <v>30737</v>
      </c>
      <c r="L55" s="11"/>
      <c r="M55" s="11">
        <v>2253</v>
      </c>
      <c r="N55" s="11">
        <f t="shared" si="7"/>
        <v>53857</v>
      </c>
    </row>
    <row r="56" spans="1:14" s="12" customFormat="1" ht="15">
      <c r="A56" s="15" t="s">
        <v>49</v>
      </c>
      <c r="B56" s="11">
        <v>600</v>
      </c>
      <c r="C56" s="11">
        <v>400</v>
      </c>
      <c r="D56" s="11">
        <v>300</v>
      </c>
      <c r="E56" s="11">
        <v>400</v>
      </c>
      <c r="F56" s="11">
        <v>9200</v>
      </c>
      <c r="G56" s="11">
        <v>300</v>
      </c>
      <c r="H56" s="11">
        <v>400</v>
      </c>
      <c r="I56" s="11">
        <v>300</v>
      </c>
      <c r="J56" s="11">
        <v>300</v>
      </c>
      <c r="K56" s="11">
        <v>400</v>
      </c>
      <c r="L56" s="11">
        <v>300</v>
      </c>
      <c r="M56" s="11">
        <v>300</v>
      </c>
      <c r="N56" s="11">
        <f t="shared" si="7"/>
        <v>13200</v>
      </c>
    </row>
    <row r="57" spans="1:14" s="12" customFormat="1" ht="15">
      <c r="A57" s="15" t="s">
        <v>50</v>
      </c>
      <c r="B57" s="11">
        <v>124353.54</v>
      </c>
      <c r="C57" s="11">
        <v>121660.23</v>
      </c>
      <c r="D57" s="11">
        <v>123033.29</v>
      </c>
      <c r="E57" s="11">
        <v>123614.2</v>
      </c>
      <c r="F57" s="11">
        <v>118280.39</v>
      </c>
      <c r="G57" s="11">
        <v>121343.37</v>
      </c>
      <c r="H57" s="11">
        <v>121972.43</v>
      </c>
      <c r="I57" s="11">
        <v>122084.31</v>
      </c>
      <c r="J57" s="11">
        <v>122643.71</v>
      </c>
      <c r="K57" s="11">
        <v>118280.39</v>
      </c>
      <c r="L57" s="11">
        <v>124881.31</v>
      </c>
      <c r="M57" s="11">
        <v>121636.79</v>
      </c>
      <c r="N57" s="11">
        <f t="shared" si="7"/>
        <v>1463783.96</v>
      </c>
    </row>
    <row r="58" spans="1:14" s="12" customFormat="1" ht="15">
      <c r="A58" s="15" t="s">
        <v>51</v>
      </c>
      <c r="B58" s="11">
        <v>1700</v>
      </c>
      <c r="C58" s="11">
        <v>1700</v>
      </c>
      <c r="D58" s="11">
        <v>1700</v>
      </c>
      <c r="E58" s="11">
        <v>1700</v>
      </c>
      <c r="F58" s="11">
        <v>1700</v>
      </c>
      <c r="G58" s="11">
        <v>1700</v>
      </c>
      <c r="H58" s="11">
        <v>1700</v>
      </c>
      <c r="I58" s="11">
        <v>1700</v>
      </c>
      <c r="J58" s="11">
        <v>1700</v>
      </c>
      <c r="K58" s="11">
        <v>1700</v>
      </c>
      <c r="L58" s="11">
        <v>1700</v>
      </c>
      <c r="M58" s="11">
        <v>1700</v>
      </c>
      <c r="N58" s="11">
        <f t="shared" si="7"/>
        <v>20400</v>
      </c>
    </row>
    <row r="59" spans="1:14" s="12" customFormat="1" ht="15">
      <c r="A59" s="15" t="s">
        <v>52</v>
      </c>
      <c r="B59" s="11">
        <v>7651.61</v>
      </c>
      <c r="C59" s="11">
        <v>6188.84</v>
      </c>
      <c r="D59" s="11"/>
      <c r="E59" s="11">
        <v>13038.11</v>
      </c>
      <c r="F59" s="11">
        <v>6110.32</v>
      </c>
      <c r="G59" s="11">
        <v>7118.9</v>
      </c>
      <c r="H59" s="11">
        <v>5869.27</v>
      </c>
      <c r="I59" s="11">
        <v>6076.1</v>
      </c>
      <c r="J59" s="11">
        <v>6921.22</v>
      </c>
      <c r="K59" s="11">
        <v>5874.47</v>
      </c>
      <c r="L59" s="11">
        <v>6627.68</v>
      </c>
      <c r="M59" s="11">
        <v>5860.08</v>
      </c>
      <c r="N59" s="11">
        <f t="shared" si="7"/>
        <v>77336.6</v>
      </c>
    </row>
    <row r="60" spans="1:14" s="12" customFormat="1" ht="15">
      <c r="A60" s="15" t="s">
        <v>53</v>
      </c>
      <c r="B60" s="11"/>
      <c r="C60" s="11">
        <f>6300+8589.56</f>
        <v>14889.56</v>
      </c>
      <c r="D60" s="11">
        <f>981.84+1583.56+3150</f>
        <v>5715.4</v>
      </c>
      <c r="E60" s="11">
        <v>3150</v>
      </c>
      <c r="F60" s="23">
        <v>3150</v>
      </c>
      <c r="G60" s="11">
        <v>3150</v>
      </c>
      <c r="H60" s="11">
        <v>3150</v>
      </c>
      <c r="I60" s="11">
        <v>3150</v>
      </c>
      <c r="J60" s="11">
        <f>1797.78+3150</f>
        <v>4947.78</v>
      </c>
      <c r="K60" s="11">
        <f>729.24+9530</f>
        <v>10259.24</v>
      </c>
      <c r="L60" s="11">
        <f>905.36+3150</f>
        <v>4055.36</v>
      </c>
      <c r="M60" s="11">
        <v>3150</v>
      </c>
      <c r="N60" s="11">
        <f t="shared" si="7"/>
        <v>58767.34</v>
      </c>
    </row>
    <row r="61" spans="1:14" s="12" customFormat="1" ht="15">
      <c r="A61" s="15" t="s">
        <v>54</v>
      </c>
      <c r="B61" s="11">
        <v>65600</v>
      </c>
      <c r="C61" s="11"/>
      <c r="D61" s="11">
        <v>4100</v>
      </c>
      <c r="E61" s="24">
        <v>41000</v>
      </c>
      <c r="F61" s="11"/>
      <c r="G61" s="25">
        <v>36900</v>
      </c>
      <c r="H61" s="11">
        <v>36900</v>
      </c>
      <c r="I61" s="11">
        <v>65600</v>
      </c>
      <c r="J61" s="11"/>
      <c r="K61" s="11">
        <v>28700</v>
      </c>
      <c r="L61" s="11">
        <v>36924</v>
      </c>
      <c r="M61" s="11">
        <v>20500</v>
      </c>
      <c r="N61" s="11">
        <f t="shared" si="7"/>
        <v>336224</v>
      </c>
    </row>
    <row r="62" spans="1:14" s="12" customFormat="1" ht="15">
      <c r="A62" s="15" t="s">
        <v>55</v>
      </c>
      <c r="B62" s="11">
        <v>350</v>
      </c>
      <c r="C62" s="11">
        <v>20400</v>
      </c>
      <c r="D62" s="11">
        <v>400</v>
      </c>
      <c r="E62" s="24">
        <v>750</v>
      </c>
      <c r="F62" s="11"/>
      <c r="G62" s="25">
        <v>350</v>
      </c>
      <c r="H62" s="11">
        <v>350</v>
      </c>
      <c r="I62" s="11"/>
      <c r="J62" s="11">
        <v>300</v>
      </c>
      <c r="K62" s="11"/>
      <c r="L62" s="11">
        <v>350</v>
      </c>
      <c r="M62" s="11"/>
      <c r="N62" s="11">
        <f t="shared" si="7"/>
        <v>23250</v>
      </c>
    </row>
    <row r="63" spans="1:14" s="12" customFormat="1" ht="15">
      <c r="A63" s="15" t="s">
        <v>56</v>
      </c>
      <c r="B63" s="11"/>
      <c r="C63" s="11">
        <v>3075</v>
      </c>
      <c r="D63" s="11">
        <v>5730</v>
      </c>
      <c r="E63" s="11"/>
      <c r="F63" s="11">
        <v>2972</v>
      </c>
      <c r="G63" s="11">
        <v>4395</v>
      </c>
      <c r="H63" s="11"/>
      <c r="I63" s="11">
        <v>1854</v>
      </c>
      <c r="J63" s="11">
        <v>2163</v>
      </c>
      <c r="K63" s="11">
        <v>4188</v>
      </c>
      <c r="L63" s="11">
        <v>4462</v>
      </c>
      <c r="M63" s="11">
        <v>47449</v>
      </c>
      <c r="N63" s="11">
        <f t="shared" si="7"/>
        <v>76288</v>
      </c>
    </row>
    <row r="64" spans="1:14" s="12" customFormat="1" ht="15">
      <c r="A64" s="15" t="s">
        <v>57</v>
      </c>
      <c r="B64" s="11">
        <v>320</v>
      </c>
      <c r="C64" s="11"/>
      <c r="D64" s="11"/>
      <c r="E64" s="11"/>
      <c r="F64" s="11"/>
      <c r="G64" s="11"/>
      <c r="H64" s="11"/>
      <c r="I64" s="11"/>
      <c r="J64" s="11"/>
      <c r="K64" s="11">
        <v>2000</v>
      </c>
      <c r="L64" s="11"/>
      <c r="M64" s="11"/>
      <c r="N64" s="11">
        <f t="shared" si="7"/>
        <v>2320</v>
      </c>
    </row>
    <row r="65" spans="1:14" s="12" customFormat="1" ht="15">
      <c r="A65" s="15" t="s">
        <v>58</v>
      </c>
      <c r="B65" s="11">
        <v>673.4</v>
      </c>
      <c r="C65" s="11"/>
      <c r="D65" s="11"/>
      <c r="E65" s="24">
        <v>404</v>
      </c>
      <c r="F65" s="26"/>
      <c r="G65" s="25"/>
      <c r="H65" s="11">
        <v>303</v>
      </c>
      <c r="I65" s="11"/>
      <c r="J65" s="11"/>
      <c r="K65" s="11"/>
      <c r="L65" s="11">
        <v>101</v>
      </c>
      <c r="M65" s="11"/>
      <c r="N65" s="11">
        <f t="shared" si="7"/>
        <v>1481.4</v>
      </c>
    </row>
    <row r="66" spans="1:14" s="12" customFormat="1" ht="15">
      <c r="A66" s="15" t="s">
        <v>3</v>
      </c>
      <c r="B66" s="11"/>
      <c r="C66" s="11"/>
      <c r="D66" s="11"/>
      <c r="E66" s="24"/>
      <c r="F66" s="26"/>
      <c r="G66" s="25">
        <v>26950</v>
      </c>
      <c r="H66" s="11"/>
      <c r="I66" s="11"/>
      <c r="J66" s="11"/>
      <c r="K66" s="11"/>
      <c r="L66" s="11"/>
      <c r="M66" s="11"/>
      <c r="N66" s="11">
        <f t="shared" si="7"/>
        <v>26950</v>
      </c>
    </row>
    <row r="67" spans="1:14" s="12" customFormat="1" ht="15">
      <c r="A67" s="15" t="s">
        <v>59</v>
      </c>
      <c r="B67" s="11">
        <v>61000</v>
      </c>
      <c r="C67" s="11">
        <v>73263</v>
      </c>
      <c r="D67" s="11">
        <v>140618</v>
      </c>
      <c r="E67" s="24">
        <v>73713.81</v>
      </c>
      <c r="F67" s="26">
        <v>166315.68</v>
      </c>
      <c r="G67" s="25">
        <v>113713.39</v>
      </c>
      <c r="H67" s="11">
        <f>12000</f>
        <v>12000</v>
      </c>
      <c r="I67" s="11">
        <v>316414.96</v>
      </c>
      <c r="J67" s="11">
        <v>25000</v>
      </c>
      <c r="K67" s="11">
        <v>287449.64</v>
      </c>
      <c r="L67" s="11">
        <v>190117.84</v>
      </c>
      <c r="M67" s="11">
        <v>43345.4</v>
      </c>
      <c r="N67" s="11">
        <f t="shared" si="7"/>
        <v>1502951.72</v>
      </c>
    </row>
    <row r="68" spans="1:14" s="12" customFormat="1" ht="15">
      <c r="A68" s="15"/>
      <c r="B68" s="11"/>
      <c r="C68" s="11"/>
      <c r="D68" s="11"/>
      <c r="E68" s="11"/>
      <c r="F68" s="26"/>
      <c r="G68" s="11"/>
      <c r="H68" s="11"/>
      <c r="I68" s="11"/>
      <c r="J68" s="11"/>
      <c r="K68" s="11"/>
      <c r="L68" s="11"/>
      <c r="M68" s="11"/>
      <c r="N68" s="11"/>
    </row>
    <row r="69" spans="1:14" s="14" customFormat="1" ht="15">
      <c r="A69" s="10" t="s">
        <v>60</v>
      </c>
      <c r="B69" s="13">
        <f>B71+B77+B82+B84</f>
        <v>7063981.53</v>
      </c>
      <c r="C69" s="13">
        <f aca="true" t="shared" si="8" ref="C69:N69">C71+C77+C82+C84</f>
        <v>6671697.08</v>
      </c>
      <c r="D69" s="13">
        <f t="shared" si="8"/>
        <v>6483469.800000001</v>
      </c>
      <c r="E69" s="13">
        <f t="shared" si="8"/>
        <v>6621790.79</v>
      </c>
      <c r="F69" s="13">
        <f t="shared" si="8"/>
        <v>3926342</v>
      </c>
      <c r="G69" s="13">
        <f t="shared" si="8"/>
        <v>3855968.2399999998</v>
      </c>
      <c r="H69" s="13">
        <f t="shared" si="8"/>
        <v>4155816.72</v>
      </c>
      <c r="I69" s="13">
        <f t="shared" si="8"/>
        <v>4422613.34</v>
      </c>
      <c r="J69" s="13">
        <f t="shared" si="8"/>
        <v>4355347.07</v>
      </c>
      <c r="K69" s="13">
        <f t="shared" si="8"/>
        <v>7269086.93</v>
      </c>
      <c r="L69" s="13">
        <f t="shared" si="8"/>
        <v>7215025.680000001</v>
      </c>
      <c r="M69" s="13">
        <f t="shared" si="8"/>
        <v>7150366.23</v>
      </c>
      <c r="N69" s="13">
        <f t="shared" si="8"/>
        <v>69191505.41</v>
      </c>
    </row>
    <row r="70" spans="1:14" s="12" customFormat="1" ht="15">
      <c r="A70" s="15" t="s">
        <v>12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s="12" customFormat="1" ht="15">
      <c r="A71" s="10" t="s">
        <v>61</v>
      </c>
      <c r="B71" s="13">
        <f aca="true" t="shared" si="9" ref="B71:M71">SUM(B73:B75)</f>
        <v>1268715.02</v>
      </c>
      <c r="C71" s="13">
        <f t="shared" si="9"/>
        <v>1188050.31</v>
      </c>
      <c r="D71" s="13">
        <f t="shared" si="9"/>
        <v>1175122.6300000001</v>
      </c>
      <c r="E71" s="13">
        <f t="shared" si="9"/>
        <v>1195579.05</v>
      </c>
      <c r="F71" s="13">
        <f t="shared" si="9"/>
        <v>1197698.7</v>
      </c>
      <c r="G71" s="13">
        <f t="shared" si="9"/>
        <v>1184302.69</v>
      </c>
      <c r="H71" s="13">
        <f t="shared" si="9"/>
        <v>1279370.2</v>
      </c>
      <c r="I71" s="13">
        <f t="shared" si="9"/>
        <v>1308485.21</v>
      </c>
      <c r="J71" s="13">
        <f t="shared" si="9"/>
        <v>1311268.56</v>
      </c>
      <c r="K71" s="13">
        <f t="shared" si="9"/>
        <v>1275050.55</v>
      </c>
      <c r="L71" s="13">
        <f t="shared" si="9"/>
        <v>1297760.55</v>
      </c>
      <c r="M71" s="13">
        <f t="shared" si="9"/>
        <v>1254479.24</v>
      </c>
      <c r="N71" s="13">
        <f aca="true" t="shared" si="10" ref="N71:N105">SUM(B71:M71)</f>
        <v>14935882.71</v>
      </c>
    </row>
    <row r="72" spans="1:14" s="12" customFormat="1" ht="15">
      <c r="A72" s="15" t="s">
        <v>12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12" customFormat="1" ht="15">
      <c r="A73" s="15" t="s">
        <v>62</v>
      </c>
      <c r="B73" s="11">
        <v>767250.09</v>
      </c>
      <c r="C73" s="11">
        <v>716357.47</v>
      </c>
      <c r="D73" s="11">
        <v>709230.8</v>
      </c>
      <c r="E73" s="11">
        <v>721586.4</v>
      </c>
      <c r="F73" s="11">
        <v>701276.78</v>
      </c>
      <c r="G73" s="11">
        <v>703753.11</v>
      </c>
      <c r="H73" s="11">
        <v>786068.85</v>
      </c>
      <c r="I73" s="11">
        <v>804059.24</v>
      </c>
      <c r="J73" s="11">
        <v>806118.77</v>
      </c>
      <c r="K73" s="11">
        <v>785189.89</v>
      </c>
      <c r="L73" s="11">
        <v>777629.93</v>
      </c>
      <c r="M73" s="11">
        <v>749174.08</v>
      </c>
      <c r="N73" s="11">
        <f t="shared" si="10"/>
        <v>9027695.409999998</v>
      </c>
    </row>
    <row r="74" spans="1:14" s="12" customFormat="1" ht="15">
      <c r="A74" s="15" t="s">
        <v>63</v>
      </c>
      <c r="B74" s="11">
        <v>501464.93</v>
      </c>
      <c r="C74" s="11">
        <v>471692.84</v>
      </c>
      <c r="D74" s="11">
        <v>465891.83</v>
      </c>
      <c r="E74" s="11">
        <v>473992.65</v>
      </c>
      <c r="F74" s="11">
        <v>496421.92</v>
      </c>
      <c r="G74" s="11">
        <v>480549.58</v>
      </c>
      <c r="H74" s="11">
        <v>493301.35</v>
      </c>
      <c r="I74" s="11">
        <v>504425.97</v>
      </c>
      <c r="J74" s="11">
        <v>505149.79</v>
      </c>
      <c r="K74" s="11">
        <v>489860.66</v>
      </c>
      <c r="L74" s="11">
        <v>520130.62</v>
      </c>
      <c r="M74" s="11">
        <v>505305.16</v>
      </c>
      <c r="N74" s="11">
        <f t="shared" si="10"/>
        <v>5908187.300000001</v>
      </c>
    </row>
    <row r="75" spans="1:14" s="12" customFormat="1" ht="15">
      <c r="A75" s="15" t="s">
        <v>64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f t="shared" si="10"/>
        <v>0</v>
      </c>
    </row>
    <row r="76" spans="1:14" s="12" customFormat="1" ht="15">
      <c r="A76" s="1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s="14" customFormat="1" ht="15">
      <c r="A77" s="10" t="s">
        <v>61</v>
      </c>
      <c r="B77" s="13">
        <f aca="true" t="shared" si="11" ref="B77:M77">SUM(B79:B80)</f>
        <v>3499497.3</v>
      </c>
      <c r="C77" s="13">
        <f t="shared" si="11"/>
        <v>3507087.18</v>
      </c>
      <c r="D77" s="13">
        <f t="shared" si="11"/>
        <v>3450961.0100000002</v>
      </c>
      <c r="E77" s="13">
        <f t="shared" si="11"/>
        <v>3507284.3200000003</v>
      </c>
      <c r="F77" s="13">
        <f t="shared" si="11"/>
        <v>857862.51</v>
      </c>
      <c r="G77" s="13">
        <f t="shared" si="11"/>
        <v>954576.36</v>
      </c>
      <c r="H77" s="13">
        <f t="shared" si="11"/>
        <v>1025046</v>
      </c>
      <c r="I77" s="13">
        <f t="shared" si="11"/>
        <v>1023666.14</v>
      </c>
      <c r="J77" s="13">
        <f t="shared" si="11"/>
        <v>1022905.42</v>
      </c>
      <c r="K77" s="13">
        <f t="shared" si="11"/>
        <v>3723713.83</v>
      </c>
      <c r="L77" s="13">
        <f t="shared" si="11"/>
        <v>3821043.9</v>
      </c>
      <c r="M77" s="13">
        <f t="shared" si="11"/>
        <v>3720954.91</v>
      </c>
      <c r="N77" s="13">
        <f t="shared" si="10"/>
        <v>30114598.88</v>
      </c>
    </row>
    <row r="78" spans="1:14" s="12" customFormat="1" ht="15">
      <c r="A78" s="15" t="s">
        <v>12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>
        <f t="shared" si="10"/>
        <v>0</v>
      </c>
    </row>
    <row r="79" spans="1:14" s="12" customFormat="1" ht="15">
      <c r="A79" s="15" t="s">
        <v>65</v>
      </c>
      <c r="B79" s="11">
        <v>852484.5</v>
      </c>
      <c r="C79" s="11">
        <v>860491.66</v>
      </c>
      <c r="D79" s="11">
        <v>822320.27</v>
      </c>
      <c r="E79" s="11">
        <v>824732.91</v>
      </c>
      <c r="F79" s="11">
        <v>857862.51</v>
      </c>
      <c r="G79" s="11">
        <v>954576.36</v>
      </c>
      <c r="H79" s="11">
        <v>1025046</v>
      </c>
      <c r="I79" s="11">
        <v>1023666.14</v>
      </c>
      <c r="J79" s="11">
        <v>1022905.42</v>
      </c>
      <c r="K79" s="11">
        <v>1033236.78</v>
      </c>
      <c r="L79" s="11">
        <v>1042352.9</v>
      </c>
      <c r="M79" s="11">
        <v>947083.54</v>
      </c>
      <c r="N79" s="11">
        <f t="shared" si="10"/>
        <v>11266758.990000002</v>
      </c>
    </row>
    <row r="80" spans="1:14" s="12" customFormat="1" ht="15">
      <c r="A80" s="15" t="s">
        <v>66</v>
      </c>
      <c r="B80" s="11">
        <v>2647012.8</v>
      </c>
      <c r="C80" s="11">
        <v>2646595.52</v>
      </c>
      <c r="D80" s="11">
        <v>2628640.74</v>
      </c>
      <c r="E80" s="11">
        <v>2682551.41</v>
      </c>
      <c r="F80" s="11"/>
      <c r="G80" s="11"/>
      <c r="H80" s="11"/>
      <c r="I80" s="11"/>
      <c r="J80" s="11"/>
      <c r="K80" s="11">
        <v>2690477.05</v>
      </c>
      <c r="L80" s="11">
        <v>2778691</v>
      </c>
      <c r="M80" s="11">
        <v>2773871.37</v>
      </c>
      <c r="N80" s="11">
        <f t="shared" si="10"/>
        <v>18847839.89</v>
      </c>
    </row>
    <row r="81" spans="1:14" s="12" customFormat="1" ht="15">
      <c r="A81" s="1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>
        <f t="shared" si="10"/>
        <v>0</v>
      </c>
    </row>
    <row r="82" spans="1:14" s="14" customFormat="1" ht="15">
      <c r="A82" s="10" t="s">
        <v>27</v>
      </c>
      <c r="B82" s="13">
        <v>428270.96</v>
      </c>
      <c r="C82" s="13">
        <v>428550.82</v>
      </c>
      <c r="D82" s="13">
        <v>428655.07</v>
      </c>
      <c r="E82" s="13">
        <v>428380.83</v>
      </c>
      <c r="F82" s="13">
        <v>427492.55</v>
      </c>
      <c r="G82" s="13">
        <v>428223</v>
      </c>
      <c r="H82" s="13">
        <v>428417.69</v>
      </c>
      <c r="I82" s="13">
        <v>428254.32</v>
      </c>
      <c r="J82" s="13">
        <v>428389.48</v>
      </c>
      <c r="K82" s="13">
        <v>428298.91</v>
      </c>
      <c r="L82" s="13">
        <v>428140.24</v>
      </c>
      <c r="M82" s="13">
        <v>428311.32</v>
      </c>
      <c r="N82" s="13">
        <f t="shared" si="10"/>
        <v>5139385.19</v>
      </c>
    </row>
    <row r="83" spans="1:14" s="12" customFormat="1" ht="15">
      <c r="A83" s="1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>
        <f t="shared" si="10"/>
        <v>0</v>
      </c>
    </row>
    <row r="84" spans="1:14" s="14" customFormat="1" ht="15">
      <c r="A84" s="10" t="s">
        <v>67</v>
      </c>
      <c r="B84" s="13">
        <v>1867498.25</v>
      </c>
      <c r="C84" s="13">
        <v>1548008.77</v>
      </c>
      <c r="D84" s="13">
        <v>1428731.09</v>
      </c>
      <c r="E84" s="13">
        <v>1490546.59</v>
      </c>
      <c r="F84" s="13">
        <v>1443288.24</v>
      </c>
      <c r="G84" s="13">
        <v>1288866.19</v>
      </c>
      <c r="H84" s="13">
        <v>1422982.83</v>
      </c>
      <c r="I84" s="13">
        <v>1662207.67</v>
      </c>
      <c r="J84" s="13">
        <v>1592783.61</v>
      </c>
      <c r="K84" s="13">
        <v>1842023.64</v>
      </c>
      <c r="L84" s="13">
        <v>1668080.99</v>
      </c>
      <c r="M84" s="13">
        <v>1746620.76</v>
      </c>
      <c r="N84" s="13">
        <f t="shared" si="10"/>
        <v>19001638.630000003</v>
      </c>
    </row>
    <row r="85" spans="1:14" s="14" customFormat="1" ht="15">
      <c r="A85" s="10"/>
      <c r="B85" s="13"/>
      <c r="C85" s="13"/>
      <c r="D85" s="13"/>
      <c r="E85" s="13"/>
      <c r="F85" s="13"/>
      <c r="G85" s="13" t="s">
        <v>68</v>
      </c>
      <c r="H85" s="13"/>
      <c r="I85" s="13"/>
      <c r="J85" s="13"/>
      <c r="K85" s="13"/>
      <c r="L85" s="13"/>
      <c r="M85" s="13"/>
      <c r="N85" s="13">
        <f t="shared" si="10"/>
        <v>0</v>
      </c>
    </row>
    <row r="86" spans="1:14" s="14" customFormat="1" ht="15">
      <c r="A86" s="10" t="s">
        <v>69</v>
      </c>
      <c r="B86" s="13">
        <f aca="true" t="shared" si="12" ref="B86:M86">SUM(B88:B100)</f>
        <v>718340.63</v>
      </c>
      <c r="C86" s="13">
        <f t="shared" si="12"/>
        <v>226372.56</v>
      </c>
      <c r="D86" s="13">
        <f t="shared" si="12"/>
        <v>198274.52000000002</v>
      </c>
      <c r="E86" s="13">
        <f t="shared" si="12"/>
        <v>208321.37</v>
      </c>
      <c r="F86" s="13">
        <f t="shared" si="12"/>
        <v>272731.52</v>
      </c>
      <c r="G86" s="13">
        <f t="shared" si="12"/>
        <v>270093.27999999997</v>
      </c>
      <c r="H86" s="13">
        <f t="shared" si="12"/>
        <v>252181.65000000002</v>
      </c>
      <c r="I86" s="13">
        <f t="shared" si="12"/>
        <v>301543.63</v>
      </c>
      <c r="J86" s="13">
        <f t="shared" si="12"/>
        <v>256131.5</v>
      </c>
      <c r="K86" s="13">
        <f t="shared" si="12"/>
        <v>227385.49</v>
      </c>
      <c r="L86" s="13">
        <f t="shared" si="12"/>
        <v>225170.50999999998</v>
      </c>
      <c r="M86" s="13">
        <f t="shared" si="12"/>
        <v>289911.21</v>
      </c>
      <c r="N86" s="13">
        <f t="shared" si="10"/>
        <v>3446457.87</v>
      </c>
    </row>
    <row r="87" spans="1:14" s="12" customFormat="1" ht="15">
      <c r="A87" s="15" t="s">
        <v>12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>
        <f t="shared" si="10"/>
        <v>0</v>
      </c>
    </row>
    <row r="88" spans="1:14" s="27" customFormat="1" ht="15">
      <c r="A88" s="18" t="s">
        <v>70</v>
      </c>
      <c r="B88" s="17"/>
      <c r="C88" s="17"/>
      <c r="D88" s="17"/>
      <c r="E88" s="17">
        <v>4574</v>
      </c>
      <c r="F88" s="17"/>
      <c r="G88" s="17"/>
      <c r="H88" s="17"/>
      <c r="I88" s="17"/>
      <c r="J88" s="17">
        <v>30530</v>
      </c>
      <c r="K88" s="17">
        <v>20751</v>
      </c>
      <c r="L88" s="17"/>
      <c r="M88" s="17">
        <v>27844</v>
      </c>
      <c r="N88" s="11">
        <f t="shared" si="10"/>
        <v>83699</v>
      </c>
    </row>
    <row r="89" spans="1:14" s="27" customFormat="1" ht="15">
      <c r="A89" s="18" t="s">
        <v>71</v>
      </c>
      <c r="B89" s="17"/>
      <c r="C89" s="17">
        <v>4500</v>
      </c>
      <c r="D89" s="17"/>
      <c r="E89" s="17"/>
      <c r="F89" s="17">
        <v>10000</v>
      </c>
      <c r="G89" s="17"/>
      <c r="H89" s="17"/>
      <c r="I89" s="17"/>
      <c r="J89" s="17"/>
      <c r="K89" s="17"/>
      <c r="L89" s="17"/>
      <c r="M89" s="17">
        <v>32625</v>
      </c>
      <c r="N89" s="11">
        <f t="shared" si="10"/>
        <v>47125</v>
      </c>
    </row>
    <row r="90" spans="1:14" s="27" customFormat="1" ht="15">
      <c r="A90" s="18" t="s">
        <v>72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1">
        <f t="shared" si="10"/>
        <v>0</v>
      </c>
    </row>
    <row r="91" spans="1:14" s="27" customFormat="1" ht="15">
      <c r="A91" s="18" t="s">
        <v>73</v>
      </c>
      <c r="B91" s="17"/>
      <c r="C91" s="17">
        <v>30000</v>
      </c>
      <c r="D91" s="17"/>
      <c r="E91" s="17"/>
      <c r="F91" s="17"/>
      <c r="G91" s="17"/>
      <c r="H91" s="17"/>
      <c r="I91" s="17"/>
      <c r="J91" s="17"/>
      <c r="K91" s="17"/>
      <c r="L91" s="17">
        <v>2500</v>
      </c>
      <c r="M91" s="17">
        <v>430</v>
      </c>
      <c r="N91" s="11">
        <f t="shared" si="10"/>
        <v>32930</v>
      </c>
    </row>
    <row r="92" spans="1:14" s="27" customFormat="1" ht="15">
      <c r="A92" s="18" t="s">
        <v>74</v>
      </c>
      <c r="B92" s="17">
        <v>1937.13</v>
      </c>
      <c r="C92" s="17">
        <v>588.33</v>
      </c>
      <c r="D92" s="17">
        <v>2107.8</v>
      </c>
      <c r="E92" s="17">
        <v>4707.36</v>
      </c>
      <c r="F92" s="17">
        <v>2587.71</v>
      </c>
      <c r="G92" s="17">
        <v>1653.69</v>
      </c>
      <c r="H92" s="17">
        <v>2645.58</v>
      </c>
      <c r="I92" s="17">
        <v>1709.88</v>
      </c>
      <c r="J92" s="17">
        <v>1263.93</v>
      </c>
      <c r="K92" s="17">
        <v>9562.17</v>
      </c>
      <c r="L92" s="17">
        <v>2298.21</v>
      </c>
      <c r="M92" s="17">
        <v>3117.93</v>
      </c>
      <c r="N92" s="11">
        <f t="shared" si="10"/>
        <v>34179.72</v>
      </c>
    </row>
    <row r="93" spans="1:14" s="27" customFormat="1" ht="15">
      <c r="A93" s="18" t="s">
        <v>75</v>
      </c>
      <c r="B93" s="17">
        <v>4119.94</v>
      </c>
      <c r="C93" s="17">
        <v>5137.59</v>
      </c>
      <c r="D93" s="17">
        <v>5028.66</v>
      </c>
      <c r="E93" s="17">
        <v>5565.25</v>
      </c>
      <c r="F93" s="17">
        <v>5934.55</v>
      </c>
      <c r="G93" s="17">
        <v>5774.95</v>
      </c>
      <c r="H93" s="17">
        <v>6125.18</v>
      </c>
      <c r="I93" s="17">
        <v>5458.94</v>
      </c>
      <c r="J93" s="17">
        <v>5472.64</v>
      </c>
      <c r="K93" s="17">
        <v>5445.43</v>
      </c>
      <c r="L93" s="17">
        <v>5688.97</v>
      </c>
      <c r="M93" s="17">
        <v>6405.7</v>
      </c>
      <c r="N93" s="11">
        <f t="shared" si="10"/>
        <v>66157.8</v>
      </c>
    </row>
    <row r="94" spans="1:14" s="27" customFormat="1" ht="15">
      <c r="A94" s="18" t="s">
        <v>76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1">
        <f t="shared" si="10"/>
        <v>0</v>
      </c>
    </row>
    <row r="95" spans="1:14" s="27" customFormat="1" ht="15">
      <c r="A95" s="18" t="s">
        <v>77</v>
      </c>
      <c r="B95" s="17"/>
      <c r="C95" s="17"/>
      <c r="D95" s="17">
        <v>4640.42</v>
      </c>
      <c r="E95" s="17"/>
      <c r="F95" s="17"/>
      <c r="G95" s="17">
        <v>4944.71</v>
      </c>
      <c r="H95" s="17"/>
      <c r="I95" s="17"/>
      <c r="J95" s="17">
        <v>4944.71</v>
      </c>
      <c r="K95" s="17"/>
      <c r="L95" s="17"/>
      <c r="M95" s="17"/>
      <c r="N95" s="11">
        <f t="shared" si="10"/>
        <v>14529.84</v>
      </c>
    </row>
    <row r="96" spans="1:14" s="27" customFormat="1" ht="15">
      <c r="A96" s="18" t="s">
        <v>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1">
        <f t="shared" si="10"/>
        <v>0</v>
      </c>
    </row>
    <row r="97" spans="1:14" s="27" customFormat="1" ht="15">
      <c r="A97" s="18" t="s">
        <v>31</v>
      </c>
      <c r="B97" s="17">
        <v>712283.56</v>
      </c>
      <c r="C97" s="17">
        <v>186146.64</v>
      </c>
      <c r="D97" s="17">
        <v>186497.64</v>
      </c>
      <c r="E97" s="17">
        <v>192811.01</v>
      </c>
      <c r="F97" s="17">
        <v>254209.26</v>
      </c>
      <c r="G97" s="17">
        <v>257719.93</v>
      </c>
      <c r="H97" s="17">
        <v>243410.89</v>
      </c>
      <c r="I97" s="17">
        <v>294369.18</v>
      </c>
      <c r="J97" s="17">
        <v>213920.22</v>
      </c>
      <c r="K97" s="17">
        <v>190900.68</v>
      </c>
      <c r="L97" s="17">
        <v>214333.9</v>
      </c>
      <c r="M97" s="17">
        <v>199488.24</v>
      </c>
      <c r="N97" s="11">
        <f t="shared" si="10"/>
        <v>3146091.1500000004</v>
      </c>
    </row>
    <row r="98" spans="1:14" s="27" customFormat="1" ht="15">
      <c r="A98" s="18" t="s">
        <v>78</v>
      </c>
      <c r="B98" s="17"/>
      <c r="C98" s="17"/>
      <c r="D98" s="17"/>
      <c r="E98" s="17">
        <v>663.75</v>
      </c>
      <c r="F98" s="17"/>
      <c r="G98" s="17"/>
      <c r="H98" s="17"/>
      <c r="I98" s="17">
        <v>5.63</v>
      </c>
      <c r="J98" s="17"/>
      <c r="K98" s="17">
        <v>726.21</v>
      </c>
      <c r="L98" s="17">
        <v>349.43</v>
      </c>
      <c r="M98" s="17">
        <v>20000.34</v>
      </c>
      <c r="N98" s="11">
        <f t="shared" si="10"/>
        <v>21745.36</v>
      </c>
    </row>
    <row r="99" spans="1:14" s="27" customFormat="1" ht="15">
      <c r="A99" s="18" t="s">
        <v>79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1">
        <f t="shared" si="10"/>
        <v>0</v>
      </c>
    </row>
    <row r="100" spans="1:14" s="27" customFormat="1" ht="15">
      <c r="A100" s="18" t="s">
        <v>80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1">
        <f t="shared" si="10"/>
        <v>0</v>
      </c>
    </row>
    <row r="101" spans="1:14" s="30" customFormat="1" ht="15">
      <c r="A101" s="28" t="s">
        <v>81</v>
      </c>
      <c r="B101" s="29">
        <f aca="true" t="shared" si="13" ref="B101:M101">B41+B69+B86</f>
        <v>9779982.13</v>
      </c>
      <c r="C101" s="29">
        <f t="shared" si="13"/>
        <v>8797758.090000002</v>
      </c>
      <c r="D101" s="29">
        <f t="shared" si="13"/>
        <v>8842277.98</v>
      </c>
      <c r="E101" s="29">
        <f t="shared" si="13"/>
        <v>8887392.59</v>
      </c>
      <c r="F101" s="29">
        <f t="shared" si="13"/>
        <v>6412272.15</v>
      </c>
      <c r="G101" s="29">
        <f t="shared" si="13"/>
        <v>6527386</v>
      </c>
      <c r="H101" s="29">
        <f t="shared" si="13"/>
        <v>6255479.870000001</v>
      </c>
      <c r="I101" s="29">
        <f t="shared" si="13"/>
        <v>6956123.090000001</v>
      </c>
      <c r="J101" s="29">
        <f t="shared" si="13"/>
        <v>6576612.67</v>
      </c>
      <c r="K101" s="29">
        <f t="shared" si="13"/>
        <v>9833128.4</v>
      </c>
      <c r="L101" s="29">
        <f t="shared" si="13"/>
        <v>9819059.94</v>
      </c>
      <c r="M101" s="29">
        <f t="shared" si="13"/>
        <v>9500261.160000002</v>
      </c>
      <c r="N101" s="20">
        <f t="shared" si="10"/>
        <v>98187734.07000001</v>
      </c>
    </row>
    <row r="102" spans="1:14" s="12" customFormat="1" ht="15">
      <c r="A102" s="1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3">
        <f t="shared" si="10"/>
        <v>0</v>
      </c>
    </row>
    <row r="103" spans="1:14" s="21" customFormat="1" ht="15">
      <c r="A103" s="19" t="s">
        <v>82</v>
      </c>
      <c r="B103" s="20">
        <f aca="true" t="shared" si="14" ref="B103:M103">B38-B101</f>
        <v>-270193.8900000006</v>
      </c>
      <c r="C103" s="20">
        <f t="shared" si="14"/>
        <v>167543.589999998</v>
      </c>
      <c r="D103" s="20">
        <f t="shared" si="14"/>
        <v>-70075.91000000015</v>
      </c>
      <c r="E103" s="20">
        <f t="shared" si="14"/>
        <v>217528.24000000022</v>
      </c>
      <c r="F103" s="20">
        <f t="shared" si="14"/>
        <v>-74297.26000000071</v>
      </c>
      <c r="G103" s="20">
        <f t="shared" si="14"/>
        <v>-344092.8200000003</v>
      </c>
      <c r="H103" s="20">
        <f t="shared" si="14"/>
        <v>450280.6899999976</v>
      </c>
      <c r="I103" s="20">
        <f t="shared" si="14"/>
        <v>-114801.70000000112</v>
      </c>
      <c r="J103" s="20">
        <f t="shared" si="14"/>
        <v>355413.05000000075</v>
      </c>
      <c r="K103" s="20">
        <f t="shared" si="14"/>
        <v>123322.8200000003</v>
      </c>
      <c r="L103" s="20">
        <f t="shared" si="14"/>
        <v>-238728.34999999963</v>
      </c>
      <c r="M103" s="20">
        <f t="shared" si="14"/>
        <v>156334.2199999988</v>
      </c>
      <c r="N103" s="20">
        <f t="shared" si="10"/>
        <v>358232.6799999932</v>
      </c>
    </row>
    <row r="104" spans="1:14" ht="15">
      <c r="A104" s="15" t="s">
        <v>83</v>
      </c>
      <c r="B104" s="4"/>
      <c r="C104" s="4"/>
      <c r="D104" s="4">
        <v>75216</v>
      </c>
      <c r="E104" s="4"/>
      <c r="F104" s="4"/>
      <c r="G104" s="4">
        <v>78820</v>
      </c>
      <c r="H104" s="4"/>
      <c r="I104" s="4"/>
      <c r="J104" s="4">
        <v>80109</v>
      </c>
      <c r="K104" s="4"/>
      <c r="L104" s="4"/>
      <c r="M104" s="4">
        <v>82696</v>
      </c>
      <c r="N104" s="13">
        <f t="shared" si="10"/>
        <v>316841</v>
      </c>
    </row>
    <row r="105" spans="1:14" ht="15">
      <c r="A105" s="31" t="s">
        <v>84</v>
      </c>
      <c r="B105" s="32">
        <f aca="true" t="shared" si="15" ref="B105:M105">B103-B104</f>
        <v>-270193.8900000006</v>
      </c>
      <c r="C105" s="32">
        <f t="shared" si="15"/>
        <v>167543.589999998</v>
      </c>
      <c r="D105" s="32">
        <f t="shared" si="15"/>
        <v>-145291.91000000015</v>
      </c>
      <c r="E105" s="32">
        <f t="shared" si="15"/>
        <v>217528.24000000022</v>
      </c>
      <c r="F105" s="32">
        <f t="shared" si="15"/>
        <v>-74297.26000000071</v>
      </c>
      <c r="G105" s="32">
        <f t="shared" si="15"/>
        <v>-422912.8200000003</v>
      </c>
      <c r="H105" s="32">
        <f t="shared" si="15"/>
        <v>450280.6899999976</v>
      </c>
      <c r="I105" s="32">
        <f t="shared" si="15"/>
        <v>-114801.70000000112</v>
      </c>
      <c r="J105" s="32">
        <f t="shared" si="15"/>
        <v>275304.05000000075</v>
      </c>
      <c r="K105" s="32">
        <f t="shared" si="15"/>
        <v>123322.8200000003</v>
      </c>
      <c r="L105" s="32">
        <f t="shared" si="15"/>
        <v>-238728.34999999963</v>
      </c>
      <c r="M105" s="32">
        <f t="shared" si="15"/>
        <v>73638.21999999881</v>
      </c>
      <c r="N105" s="32">
        <f t="shared" si="10"/>
        <v>41391.67999999318</v>
      </c>
    </row>
    <row r="106" spans="1:14" ht="15">
      <c r="A106" t="s">
        <v>85</v>
      </c>
      <c r="B106" s="5">
        <f aca="true" t="shared" si="16" ref="B106:N106">(B44+B45)/B7*100</f>
        <v>54.95205347876707</v>
      </c>
      <c r="C106" s="5">
        <f t="shared" si="16"/>
        <v>55.426052698321385</v>
      </c>
      <c r="D106" s="5">
        <f t="shared" si="16"/>
        <v>65.4441539194424</v>
      </c>
      <c r="E106" s="5">
        <f t="shared" si="16"/>
        <v>52.37531444826161</v>
      </c>
      <c r="F106" s="5">
        <f t="shared" si="16"/>
        <v>58.265659716492465</v>
      </c>
      <c r="G106" s="5">
        <f t="shared" si="16"/>
        <v>61.68893067277743</v>
      </c>
      <c r="H106" s="5">
        <f t="shared" si="16"/>
        <v>52.02239950699673</v>
      </c>
      <c r="I106" s="5">
        <f t="shared" si="16"/>
        <v>56.52829558027751</v>
      </c>
      <c r="J106" s="5">
        <f t="shared" si="16"/>
        <v>53.705804387575554</v>
      </c>
      <c r="K106" s="5">
        <f t="shared" si="16"/>
        <v>54.98425583087027</v>
      </c>
      <c r="L106" s="5">
        <f t="shared" si="16"/>
        <v>53.64330018334562</v>
      </c>
      <c r="M106" s="5">
        <f t="shared" si="16"/>
        <v>56.65682426147658</v>
      </c>
      <c r="N106" s="5">
        <f t="shared" si="16"/>
        <v>56.24435715627357</v>
      </c>
    </row>
    <row r="107" spans="1:14" ht="15">
      <c r="A107" s="33" t="s">
        <v>86</v>
      </c>
      <c r="B107" s="5">
        <f aca="true" t="shared" si="17" ref="B107:N107">B105/B7*100</f>
        <v>-12.977359825830892</v>
      </c>
      <c r="C107" s="5">
        <f t="shared" si="17"/>
        <v>7.859832623116674</v>
      </c>
      <c r="D107" s="5">
        <f t="shared" si="17"/>
        <v>-6.880684052144632</v>
      </c>
      <c r="E107" s="5">
        <f t="shared" si="17"/>
        <v>9.444540594994123</v>
      </c>
      <c r="F107" s="5">
        <f t="shared" si="17"/>
        <v>-3.347442279113612</v>
      </c>
      <c r="G107" s="5">
        <f t="shared" si="17"/>
        <v>-18.971094472917432</v>
      </c>
      <c r="H107" s="5">
        <f t="shared" si="17"/>
        <v>19.44441214125913</v>
      </c>
      <c r="I107" s="5">
        <f t="shared" si="17"/>
        <v>-5.101835846222897</v>
      </c>
      <c r="J107" s="5">
        <f t="shared" si="17"/>
        <v>12.02217602508125</v>
      </c>
      <c r="K107" s="5">
        <f t="shared" si="17"/>
        <v>5.440450945367039</v>
      </c>
      <c r="L107" s="5">
        <f t="shared" si="17"/>
        <v>-10.62350490089701</v>
      </c>
      <c r="M107" s="5">
        <f t="shared" si="17"/>
        <v>3.2006859613089875</v>
      </c>
      <c r="N107" s="5">
        <f t="shared" si="17"/>
        <v>0.15474788230900527</v>
      </c>
    </row>
    <row r="108" spans="1:15" ht="15">
      <c r="A108" s="33" t="s">
        <v>87</v>
      </c>
      <c r="B108" s="5"/>
      <c r="C108" s="5"/>
      <c r="D108" s="5"/>
      <c r="E108" s="5"/>
      <c r="F108" s="5"/>
      <c r="N108" s="5">
        <v>5281.29</v>
      </c>
      <c r="O108" s="34">
        <f>N105-N109-N108</f>
        <v>-6.8239387474022806E-09</v>
      </c>
    </row>
    <row r="109" spans="1:14" s="21" customFormat="1" ht="15">
      <c r="A109" s="19" t="s">
        <v>88</v>
      </c>
      <c r="B109" s="20">
        <f>SUM(B112:B112)</f>
        <v>0</v>
      </c>
      <c r="C109" s="20">
        <f>SUM(C112:C112)</f>
        <v>0</v>
      </c>
      <c r="D109" s="20">
        <f>SUM(D112:D112)</f>
        <v>0</v>
      </c>
      <c r="E109" s="20">
        <f>SUM(E112:E112)</f>
        <v>0</v>
      </c>
      <c r="F109" s="20">
        <f>SUM(F110:F112)</f>
        <v>0</v>
      </c>
      <c r="G109" s="20">
        <f>SUM(G110:G112)</f>
        <v>35700</v>
      </c>
      <c r="H109" s="20">
        <f aca="true" t="shared" si="18" ref="H109:M109">SUM(H110:H112)</f>
        <v>0</v>
      </c>
      <c r="I109" s="20">
        <f t="shared" si="18"/>
        <v>0</v>
      </c>
      <c r="J109" s="20">
        <f t="shared" si="18"/>
        <v>376.91</v>
      </c>
      <c r="K109" s="20">
        <f t="shared" si="18"/>
        <v>0</v>
      </c>
      <c r="L109" s="20">
        <f t="shared" si="18"/>
        <v>33.48</v>
      </c>
      <c r="M109" s="20">
        <f t="shared" si="18"/>
        <v>0</v>
      </c>
      <c r="N109" s="20">
        <f>SUM(B109:M109)</f>
        <v>36110.39000000001</v>
      </c>
    </row>
    <row r="110" spans="1:14" ht="15">
      <c r="A110" s="3" t="s">
        <v>12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1">
        <f>SUM(B110:M110)</f>
        <v>0</v>
      </c>
    </row>
    <row r="111" spans="1:14" ht="15">
      <c r="A111" s="3" t="s">
        <v>89</v>
      </c>
      <c r="B111" s="4"/>
      <c r="C111" s="4"/>
      <c r="D111" s="4"/>
      <c r="E111" s="4"/>
      <c r="F111" s="4"/>
      <c r="G111" s="4">
        <v>35700</v>
      </c>
      <c r="H111" s="4"/>
      <c r="I111" s="4"/>
      <c r="J111" s="4">
        <v>376.91</v>
      </c>
      <c r="K111" s="4"/>
      <c r="L111" s="4">
        <v>33.48</v>
      </c>
      <c r="M111" s="4"/>
      <c r="N111" s="11"/>
    </row>
    <row r="112" spans="1:14" ht="15">
      <c r="A112" s="35" t="s">
        <v>90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1">
        <f>SUM(B112:M112)</f>
        <v>0</v>
      </c>
    </row>
  </sheetData>
  <sheetProtection password="CC5F" sheet="1" objects="1" scenarios="1" selectLockedCells="1" selectUnlockedCells="1"/>
  <printOptions/>
  <pageMargins left="0.9840277777777777" right="0.19652777777777777" top="0.39375" bottom="0.393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2016-03-30T09:51:35Z</dcterms:created>
  <dcterms:modified xsi:type="dcterms:W3CDTF">2016-03-31T12:36:08Z</dcterms:modified>
  <cp:category/>
  <cp:version/>
  <cp:contentType/>
  <cp:contentStatus/>
</cp:coreProperties>
</file>